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orpuschristi-my.sharepoint.com/personal/judys_cctexas_com/Documents/Desktop/FFRS Website Items/Pension - FF/2024/"/>
    </mc:Choice>
  </mc:AlternateContent>
  <xr:revisionPtr revIDLastSave="62" documentId="8_{2BCB3276-C6A5-438F-B3EC-63CFBCE538C1}" xr6:coauthVersionLast="47" xr6:coauthVersionMax="47" xr10:uidLastSave="{F0CCCD78-5F2C-4273-A697-6DD839F59097}"/>
  <bookViews>
    <workbookView xWindow="38290" yWindow="-110" windowWidth="38620" windowHeight="21220" xr2:uid="{00000000-000D-0000-FFFF-FFFF00000000}"/>
  </bookViews>
  <sheets>
    <sheet name="Summary" sheetId="1" r:id="rId1"/>
    <sheet name="From Yearly Reports" sheetId="3" r:id="rId2"/>
  </sheets>
  <definedNames>
    <definedName name="_xlnm.Print_Titles" localSheetId="1">'From Yearly Reports'!$1:$4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1" l="1"/>
  <c r="L22" i="1"/>
  <c r="K22" i="1"/>
  <c r="H22" i="1"/>
  <c r="G22" i="1"/>
  <c r="F22" i="1"/>
  <c r="E22" i="1"/>
  <c r="D22" i="1"/>
  <c r="C22" i="1"/>
  <c r="O293" i="3"/>
  <c r="O282" i="3"/>
  <c r="O281" i="3"/>
  <c r="M21" i="1"/>
  <c r="L21" i="1"/>
  <c r="K21" i="1"/>
  <c r="H21" i="1"/>
  <c r="G21" i="1"/>
  <c r="F21" i="1"/>
  <c r="E21" i="1"/>
  <c r="D21" i="1"/>
  <c r="O258" i="3"/>
  <c r="O247" i="3"/>
  <c r="O246" i="3"/>
  <c r="O257" i="3" s="1"/>
  <c r="M20" i="1"/>
  <c r="L20" i="1"/>
  <c r="K20" i="1"/>
  <c r="H20" i="1"/>
  <c r="G20" i="1"/>
  <c r="F20" i="1"/>
  <c r="E20" i="1"/>
  <c r="D20" i="1"/>
  <c r="M19" i="1"/>
  <c r="L19" i="1"/>
  <c r="K19" i="1"/>
  <c r="H19" i="1"/>
  <c r="G19" i="1"/>
  <c r="F19" i="1"/>
  <c r="E19" i="1"/>
  <c r="D19" i="1"/>
  <c r="O231" i="3"/>
  <c r="O220" i="3"/>
  <c r="O219" i="3"/>
  <c r="O230" i="3" s="1"/>
  <c r="O197" i="3"/>
  <c r="O186" i="3"/>
  <c r="O185" i="3"/>
  <c r="Z88" i="3"/>
  <c r="Z102" i="3"/>
  <c r="Z122" i="3"/>
  <c r="Z136" i="3"/>
  <c r="Z166" i="3"/>
  <c r="Z167" i="3" s="1"/>
  <c r="Y167" i="3"/>
  <c r="X167" i="3"/>
  <c r="W167" i="3"/>
  <c r="V167" i="3"/>
  <c r="U167" i="3"/>
  <c r="T167" i="3"/>
  <c r="S167" i="3"/>
  <c r="R167" i="3"/>
  <c r="Q167" i="3"/>
  <c r="Y87" i="3"/>
  <c r="X86" i="3"/>
  <c r="W85" i="3"/>
  <c r="V84" i="3"/>
  <c r="U81" i="3"/>
  <c r="T80" i="3"/>
  <c r="S79" i="3"/>
  <c r="R78" i="3"/>
  <c r="Q77" i="3"/>
  <c r="Y101" i="3"/>
  <c r="X100" i="3"/>
  <c r="W99" i="3"/>
  <c r="V98" i="3"/>
  <c r="U95" i="3"/>
  <c r="T94" i="3"/>
  <c r="S93" i="3"/>
  <c r="R92" i="3"/>
  <c r="Q91" i="3"/>
  <c r="Y121" i="3"/>
  <c r="X120" i="3"/>
  <c r="W119" i="3"/>
  <c r="V118" i="3"/>
  <c r="U115" i="3"/>
  <c r="T114" i="3"/>
  <c r="S113" i="3"/>
  <c r="R112" i="3"/>
  <c r="Q111" i="3"/>
  <c r="Y135" i="3"/>
  <c r="X134" i="3"/>
  <c r="W133" i="3"/>
  <c r="V132" i="3"/>
  <c r="U129" i="3"/>
  <c r="T128" i="3"/>
  <c r="S127" i="3"/>
  <c r="R126" i="3"/>
  <c r="Q125" i="3"/>
  <c r="Y165" i="3"/>
  <c r="X164" i="3"/>
  <c r="W163" i="3"/>
  <c r="V162" i="3"/>
  <c r="U159" i="3"/>
  <c r="T158" i="3"/>
  <c r="S157" i="3"/>
  <c r="R156" i="3"/>
  <c r="Q155" i="3"/>
  <c r="N18" i="1"/>
  <c r="C19" i="1" s="1"/>
  <c r="M18" i="1"/>
  <c r="L18" i="1"/>
  <c r="K18" i="1"/>
  <c r="H18" i="1"/>
  <c r="G18" i="1"/>
  <c r="F18" i="1"/>
  <c r="E18" i="1"/>
  <c r="D18" i="1"/>
  <c r="C18" i="1"/>
  <c r="N17" i="1"/>
  <c r="M17" i="1"/>
  <c r="L17" i="1"/>
  <c r="K17" i="1"/>
  <c r="H17" i="1"/>
  <c r="G17" i="1"/>
  <c r="F17" i="1"/>
  <c r="E17" i="1"/>
  <c r="D17" i="1"/>
  <c r="C17" i="1"/>
  <c r="N16" i="1"/>
  <c r="M16" i="1"/>
  <c r="L16" i="1"/>
  <c r="K16" i="1"/>
  <c r="H16" i="1"/>
  <c r="G16" i="1"/>
  <c r="F16" i="1"/>
  <c r="E16" i="1"/>
  <c r="D16" i="1"/>
  <c r="C16" i="1"/>
  <c r="O126" i="3"/>
  <c r="O136" i="3"/>
  <c r="O137" i="3" s="1"/>
  <c r="O112" i="3"/>
  <c r="O122" i="3"/>
  <c r="O123" i="3" s="1"/>
  <c r="O157" i="3"/>
  <c r="O156" i="3"/>
  <c r="O166" i="3" s="1"/>
  <c r="O167" i="3" s="1"/>
  <c r="N22" i="1" l="1"/>
  <c r="O292" i="3"/>
  <c r="N19" i="1"/>
  <c r="C20" i="1" s="1"/>
  <c r="N20" i="1" s="1"/>
  <c r="C21" i="1" s="1"/>
  <c r="N21" i="1" s="1"/>
  <c r="O196" i="3"/>
  <c r="K11" i="1"/>
  <c r="O93" i="3"/>
  <c r="O79" i="3"/>
  <c r="O47" i="3"/>
  <c r="O22" i="3"/>
  <c r="E12" i="1" s="1"/>
  <c r="O8" i="3"/>
  <c r="O7" i="3"/>
  <c r="O21" i="3"/>
  <c r="D12" i="1" s="1"/>
  <c r="O46" i="3"/>
  <c r="O78" i="3"/>
  <c r="O92" i="3"/>
  <c r="J11" i="1" l="1"/>
  <c r="H11" i="1"/>
  <c r="J12" i="1"/>
  <c r="H12" i="1"/>
  <c r="J13" i="1"/>
  <c r="H13" i="1"/>
  <c r="J14" i="1"/>
  <c r="H14" i="1"/>
  <c r="V168" i="3" s="1"/>
  <c r="V169" i="3" s="1"/>
  <c r="J15" i="1"/>
  <c r="H15" i="1"/>
  <c r="M11" i="1" l="1"/>
  <c r="L11" i="1"/>
  <c r="I11" i="1"/>
  <c r="E11" i="1"/>
  <c r="D11" i="1"/>
  <c r="C11" i="1"/>
  <c r="M12" i="1"/>
  <c r="L12" i="1"/>
  <c r="K12" i="1"/>
  <c r="I12" i="1"/>
  <c r="G12" i="1"/>
  <c r="F12" i="1"/>
  <c r="O17" i="3"/>
  <c r="O31" i="3"/>
  <c r="O32" i="3" s="1"/>
  <c r="E14" i="1"/>
  <c r="S168" i="3" s="1"/>
  <c r="S169" i="3" s="1"/>
  <c r="D14" i="1"/>
  <c r="R168" i="3" s="1"/>
  <c r="R169" i="3" s="1"/>
  <c r="M15" i="1"/>
  <c r="L15" i="1"/>
  <c r="K15" i="1"/>
  <c r="I15" i="1"/>
  <c r="G15" i="1"/>
  <c r="F15" i="1"/>
  <c r="E15" i="1"/>
  <c r="D15" i="1"/>
  <c r="O18" i="3" l="1"/>
  <c r="N12" i="1"/>
  <c r="O33" i="3" s="1"/>
  <c r="C12" i="1"/>
  <c r="C13" i="1"/>
  <c r="C14" i="1"/>
  <c r="C15" i="1"/>
  <c r="N47" i="1"/>
  <c r="M47" i="1"/>
  <c r="M48" i="1" s="1"/>
  <c r="L47" i="1"/>
  <c r="L48" i="1" s="1"/>
  <c r="K47" i="1"/>
  <c r="K48" i="1" s="1"/>
  <c r="J47" i="1"/>
  <c r="J48" i="1" s="1"/>
  <c r="I47" i="1"/>
  <c r="I48" i="1" s="1"/>
  <c r="H47" i="1"/>
  <c r="H48" i="1" s="1"/>
  <c r="G47" i="1"/>
  <c r="G48" i="1" s="1"/>
  <c r="F47" i="1"/>
  <c r="F48" i="1" s="1"/>
  <c r="E47" i="1"/>
  <c r="E48" i="1" s="1"/>
  <c r="D47" i="1"/>
  <c r="D48" i="1" s="1"/>
  <c r="C47" i="1"/>
  <c r="C48" i="1" s="1"/>
  <c r="Q168" i="3" l="1"/>
  <c r="Q169" i="3" s="1"/>
  <c r="O102" i="3"/>
  <c r="N15" i="1" s="1"/>
  <c r="O103" i="3" s="1"/>
  <c r="M14" i="1"/>
  <c r="Y168" i="3" s="1"/>
  <c r="Y169" i="3" s="1"/>
  <c r="L14" i="1"/>
  <c r="X168" i="3" s="1"/>
  <c r="X169" i="3" s="1"/>
  <c r="K14" i="1"/>
  <c r="W168" i="3" s="1"/>
  <c r="W169" i="3" s="1"/>
  <c r="I14" i="1"/>
  <c r="G14" i="1"/>
  <c r="U168" i="3" s="1"/>
  <c r="U169" i="3" s="1"/>
  <c r="F14" i="1"/>
  <c r="T168" i="3" s="1"/>
  <c r="T169" i="3" s="1"/>
  <c r="O88" i="3"/>
  <c r="M13" i="1"/>
  <c r="L13" i="1"/>
  <c r="K13" i="1"/>
  <c r="I13" i="1"/>
  <c r="G13" i="1"/>
  <c r="F13" i="1"/>
  <c r="E13" i="1"/>
  <c r="D13" i="1"/>
  <c r="N14" i="1" l="1"/>
  <c r="O89" i="3"/>
  <c r="E49" i="1"/>
  <c r="E50" i="1" s="1"/>
  <c r="L49" i="1"/>
  <c r="L50" i="1" s="1"/>
  <c r="O56" i="3"/>
  <c r="M49" i="1"/>
  <c r="M50" i="1" s="1"/>
  <c r="K49" i="1"/>
  <c r="K50" i="1" s="1"/>
  <c r="J49" i="1"/>
  <c r="J50" i="1" s="1"/>
  <c r="I49" i="1"/>
  <c r="I50" i="1" s="1"/>
  <c r="H49" i="1"/>
  <c r="H50" i="1" s="1"/>
  <c r="G11" i="1"/>
  <c r="F11" i="1"/>
  <c r="D49" i="1"/>
  <c r="D50" i="1" s="1"/>
  <c r="C49" i="1"/>
  <c r="C50" i="1" s="1"/>
  <c r="N11" i="1"/>
  <c r="O19" i="3" s="1"/>
  <c r="O90" i="3" l="1"/>
  <c r="Z168" i="3"/>
  <c r="Z169" i="3" s="1"/>
  <c r="F49" i="1"/>
  <c r="F50" i="1" s="1"/>
  <c r="G49" i="1"/>
  <c r="G50" i="1" s="1"/>
  <c r="N13" i="1"/>
  <c r="O58" i="3" s="1"/>
  <c r="O57" i="3"/>
  <c r="N48" i="1"/>
  <c r="N49" i="1" l="1"/>
  <c r="N50" i="1" s="1"/>
</calcChain>
</file>

<file path=xl/sharedStrings.xml><?xml version="1.0" encoding="utf-8"?>
<sst xmlns="http://schemas.openxmlformats.org/spreadsheetml/2006/main" count="175" uniqueCount="38">
  <si>
    <t>Additions</t>
  </si>
  <si>
    <t>Deductions</t>
  </si>
  <si>
    <t>Benefit Accumulation Fund Balance (Jan 1)</t>
  </si>
  <si>
    <t>Net Investment Income Credited to Municipality</t>
  </si>
  <si>
    <t>Employer Contributions</t>
  </si>
  <si>
    <t>Plan Member Contributions</t>
  </si>
  <si>
    <t>Disability Retirement Benefits</t>
  </si>
  <si>
    <t>Partial Lump Sum Distributions</t>
  </si>
  <si>
    <t>Refunds of Contributions</t>
  </si>
  <si>
    <t>Administrative Expenses</t>
  </si>
  <si>
    <t>Other Activity</t>
  </si>
  <si>
    <t>Benefit Accumulation Fund Balance (Dec 31)</t>
  </si>
  <si>
    <t>2012</t>
  </si>
  <si>
    <t>City of Corpus Christi</t>
  </si>
  <si>
    <t>Beg Bal</t>
  </si>
  <si>
    <t>ER Contributions</t>
  </si>
  <si>
    <t>EE Contributions</t>
  </si>
  <si>
    <t>Service Retirements</t>
  </si>
  <si>
    <t>Disability Retirements</t>
  </si>
  <si>
    <t>Distributions</t>
  </si>
  <si>
    <t>End Bal</t>
  </si>
  <si>
    <t>Net Investment</t>
  </si>
  <si>
    <t>Other Net Investment</t>
  </si>
  <si>
    <t>Admin Exp</t>
  </si>
  <si>
    <t>Total Additions and Deductions</t>
  </si>
  <si>
    <t>For the Most Recent Valuation</t>
  </si>
  <si>
    <t>Calendar Year</t>
  </si>
  <si>
    <t>To check:</t>
  </si>
  <si>
    <t>Firefighters' Retirement System</t>
  </si>
  <si>
    <t>Benefits Paid</t>
  </si>
  <si>
    <t>Other Net Investment Income/Loss</t>
  </si>
  <si>
    <t>FY2019</t>
  </si>
  <si>
    <t>FY2018</t>
  </si>
  <si>
    <t>FY2017</t>
  </si>
  <si>
    <t>FY2020</t>
  </si>
  <si>
    <t>FY2021</t>
  </si>
  <si>
    <t>FY2022</t>
  </si>
  <si>
    <t>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</si>
</sst>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43" fontId="0" fillId="0" borderId="0" xfId="1" applyFont="1"/>
    <xf numFmtId="0" fontId="4" fillId="0" borderId="0" xfId="0" applyFont="1"/>
    <xf numFmtId="164" fontId="0" fillId="0" borderId="7" xfId="1" applyNumberFormat="1" applyFont="1" applyFill="1" applyBorder="1"/>
    <xf numFmtId="0" fontId="0" fillId="0" borderId="9" xfId="0" applyBorder="1"/>
    <xf numFmtId="0" fontId="0" fillId="0" borderId="12" xfId="0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1" xfId="1" applyNumberFormat="1" applyFont="1" applyFill="1" applyBorder="1"/>
    <xf numFmtId="0" fontId="2" fillId="0" borderId="16" xfId="0" applyFont="1" applyBorder="1" applyAlignment="1">
      <alignment horizontal="center" wrapText="1"/>
    </xf>
    <xf numFmtId="164" fontId="0" fillId="0" borderId="17" xfId="1" applyNumberFormat="1" applyFont="1" applyFill="1" applyBorder="1"/>
    <xf numFmtId="0" fontId="0" fillId="0" borderId="18" xfId="0" applyBorder="1"/>
    <xf numFmtId="0" fontId="2" fillId="0" borderId="19" xfId="0" applyFont="1" applyBorder="1" applyAlignment="1">
      <alignment horizontal="center" wrapText="1"/>
    </xf>
    <xf numFmtId="164" fontId="0" fillId="0" borderId="20" xfId="1" applyNumberFormat="1" applyFont="1" applyFill="1" applyBorder="1"/>
    <xf numFmtId="0" fontId="0" fillId="0" borderId="21" xfId="0" applyBorder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2" applyFont="1" applyAlignment="1">
      <alignment horizontal="left"/>
    </xf>
    <xf numFmtId="43" fontId="0" fillId="0" borderId="22" xfId="1" applyFont="1" applyBorder="1"/>
    <xf numFmtId="0" fontId="7" fillId="0" borderId="0" xfId="0" applyFont="1"/>
    <xf numFmtId="41" fontId="7" fillId="0" borderId="0" xfId="1" applyNumberFormat="1" applyFo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4" fillId="0" borderId="26" xfId="0" applyFont="1" applyBorder="1"/>
    <xf numFmtId="0" fontId="4" fillId="0" borderId="27" xfId="0" applyFont="1" applyBorder="1"/>
    <xf numFmtId="0" fontId="0" fillId="0" borderId="26" xfId="0" applyBorder="1"/>
    <xf numFmtId="0" fontId="0" fillId="0" borderId="27" xfId="0" applyBorder="1"/>
    <xf numFmtId="0" fontId="2" fillId="0" borderId="26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6" fillId="0" borderId="0" xfId="0" applyFont="1"/>
    <xf numFmtId="0" fontId="0" fillId="0" borderId="0" xfId="0" quotePrefix="1" applyAlignment="1">
      <alignment horizontal="left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7" fillId="0" borderId="26" xfId="0" applyFont="1" applyBorder="1"/>
    <xf numFmtId="0" fontId="7" fillId="0" borderId="0" xfId="0" applyFont="1" applyAlignment="1">
      <alignment vertical="top"/>
    </xf>
    <xf numFmtId="0" fontId="7" fillId="0" borderId="27" xfId="0" applyFont="1" applyBorder="1"/>
    <xf numFmtId="43" fontId="7" fillId="0" borderId="0" xfId="0" applyNumberFormat="1" applyFont="1" applyAlignment="1">
      <alignment vertical="top"/>
    </xf>
    <xf numFmtId="43" fontId="7" fillId="0" borderId="0" xfId="0" applyNumberFormat="1" applyFont="1" applyAlignment="1">
      <alignment vertical="top" wrapText="1"/>
    </xf>
    <xf numFmtId="41" fontId="7" fillId="0" borderId="26" xfId="1" applyNumberFormat="1" applyFont="1" applyBorder="1"/>
    <xf numFmtId="41" fontId="7" fillId="0" borderId="0" xfId="1" applyNumberFormat="1" applyFont="1" applyBorder="1"/>
    <xf numFmtId="41" fontId="7" fillId="0" borderId="27" xfId="1" applyNumberFormat="1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164" fontId="0" fillId="0" borderId="35" xfId="1" applyNumberFormat="1" applyFont="1" applyFill="1" applyBorder="1"/>
    <xf numFmtId="0" fontId="0" fillId="0" borderId="36" xfId="0" applyBorder="1"/>
    <xf numFmtId="0" fontId="2" fillId="3" borderId="31" xfId="0" applyFont="1" applyFill="1" applyBorder="1" applyAlignment="1">
      <alignment horizontal="center" wrapText="1"/>
    </xf>
    <xf numFmtId="0" fontId="2" fillId="3" borderId="32" xfId="0" applyFont="1" applyFill="1" applyBorder="1" applyAlignment="1">
      <alignment horizontal="center" wrapText="1"/>
    </xf>
    <xf numFmtId="0" fontId="2" fillId="3" borderId="33" xfId="0" applyFont="1" applyFill="1" applyBorder="1" applyAlignment="1">
      <alignment horizontal="center" wrapText="1"/>
    </xf>
    <xf numFmtId="43" fontId="0" fillId="0" borderId="0" xfId="1" applyFont="1" applyBorder="1"/>
    <xf numFmtId="0" fontId="8" fillId="0" borderId="0" xfId="0" applyFont="1"/>
    <xf numFmtId="43" fontId="0" fillId="0" borderId="0" xfId="0" applyNumberFormat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43" fontId="0" fillId="0" borderId="0" xfId="1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202670</xdr:colOff>
      <xdr:row>75</xdr:row>
      <xdr:rowOff>108057</xdr:rowOff>
    </xdr:from>
    <xdr:to>
      <xdr:col>9</xdr:col>
      <xdr:colOff>381000</xdr:colOff>
      <xdr:row>101</xdr:row>
      <xdr:rowOff>218477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70" y="10718907"/>
          <a:ext cx="5055130" cy="623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279702</xdr:colOff>
      <xdr:row>42</xdr:row>
      <xdr:rowOff>222250</xdr:rowOff>
    </xdr:from>
    <xdr:to>
      <xdr:col>9</xdr:col>
      <xdr:colOff>374649</xdr:colOff>
      <xdr:row>69</xdr:row>
      <xdr:rowOff>7470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302" y="7296150"/>
          <a:ext cx="4971747" cy="6141570"/>
        </a:xfrm>
        <a:prstGeom prst="rect">
          <a:avLst/>
        </a:prstGeom>
      </xdr:spPr>
    </xdr:pic>
    <xdr:clientData/>
  </xdr:twoCellAnchor>
  <xdr:twoCellAnchor editAs="oneCell">
    <xdr:from>
      <xdr:col>1</xdr:col>
      <xdr:colOff>298450</xdr:colOff>
      <xdr:row>5</xdr:row>
      <xdr:rowOff>76200</xdr:rowOff>
    </xdr:from>
    <xdr:to>
      <xdr:col>10</xdr:col>
      <xdr:colOff>31098</xdr:colOff>
      <xdr:row>33</xdr:row>
      <xdr:rowOff>91248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8050" y="1250950"/>
          <a:ext cx="5219048" cy="66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137</xdr:row>
      <xdr:rowOff>213360</xdr:rowOff>
    </xdr:from>
    <xdr:to>
      <xdr:col>10</xdr:col>
      <xdr:colOff>235484</xdr:colOff>
      <xdr:row>163</xdr:row>
      <xdr:rowOff>117241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C82DDE-E89E-4B17-A1A0-4A90BB4B3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080" y="23835360"/>
          <a:ext cx="5302784" cy="58474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10</xdr:col>
      <xdr:colOff>446933</xdr:colOff>
      <xdr:row>133</xdr:row>
      <xdr:rowOff>193427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4D497D9-9045-4B0D-8093-E13232A6D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1980" y="23622000"/>
          <a:ext cx="5933333" cy="70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9</xdr:col>
      <xdr:colOff>389794</xdr:colOff>
      <xdr:row>194</xdr:row>
      <xdr:rowOff>199196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C54BE9-9E8B-4062-B853-AC63A68D5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9919275"/>
          <a:ext cx="5847619" cy="6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10</xdr:col>
      <xdr:colOff>246861</xdr:colOff>
      <xdr:row>229</xdr:row>
      <xdr:rowOff>8571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9B5ABA-7774-43AC-B166-C0EA4BA4E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7082075"/>
          <a:ext cx="6314286" cy="7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11</xdr:col>
      <xdr:colOff>76200</xdr:colOff>
      <xdr:row>262</xdr:row>
      <xdr:rowOff>195888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EDC8C11-C97D-36EA-A05D-6FA095A9E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55435500"/>
          <a:ext cx="6753225" cy="73586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272</xdr:row>
      <xdr:rowOff>82550</xdr:rowOff>
    </xdr:from>
    <xdr:to>
      <xdr:col>11</xdr:col>
      <xdr:colOff>334337</xdr:colOff>
      <xdr:row>305</xdr:row>
      <xdr:rowOff>84455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1FA8D9D-946D-9131-5490-2DDB77706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" y="64128650"/>
          <a:ext cx="7039936" cy="7767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showGridLines="0" tabSelected="1" workbookViewId="0">
      <selection activeCell="B25" sqref="B25"/>
    </sheetView>
  </sheetViews>
  <sheetFormatPr defaultRowHeight="14.5" x14ac:dyDescent="0.35"/>
  <cols>
    <col min="1" max="1" width="1.7265625" customWidth="1"/>
    <col min="2" max="2" width="8.26953125" bestFit="1" customWidth="1"/>
    <col min="3" max="3" width="14.26953125" customWidth="1"/>
    <col min="4" max="4" width="16.26953125" customWidth="1"/>
    <col min="5" max="5" width="13.7265625" customWidth="1"/>
    <col min="6" max="6" width="15.26953125" customWidth="1"/>
    <col min="7" max="7" width="13.7265625" customWidth="1"/>
    <col min="8" max="8" width="14.54296875" customWidth="1"/>
    <col min="9" max="9" width="11.1796875" hidden="1" customWidth="1"/>
    <col min="10" max="10" width="12.7265625" hidden="1" customWidth="1"/>
    <col min="11" max="11" width="14.7265625" customWidth="1"/>
    <col min="12" max="12" width="15.26953125" customWidth="1"/>
    <col min="13" max="13" width="11.26953125" customWidth="1"/>
    <col min="14" max="14" width="15.26953125" customWidth="1"/>
    <col min="15" max="15" width="1.7265625" customWidth="1"/>
    <col min="16" max="16" width="11" bestFit="1" customWidth="1"/>
  </cols>
  <sheetData>
    <row r="1" spans="1:15" ht="15" thickTop="1" x14ac:dyDescent="0.3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s="3" customFormat="1" ht="18.5" x14ac:dyDescent="0.45">
      <c r="A2" s="32"/>
      <c r="B2" s="3" t="s">
        <v>13</v>
      </c>
      <c r="O2" s="33"/>
    </row>
    <row r="3" spans="1:15" s="3" customFormat="1" ht="18.5" x14ac:dyDescent="0.45">
      <c r="A3" s="32"/>
      <c r="B3" s="3" t="s">
        <v>28</v>
      </c>
      <c r="O3" s="33"/>
    </row>
    <row r="4" spans="1:15" s="3" customFormat="1" ht="18.5" x14ac:dyDescent="0.45">
      <c r="A4" s="32"/>
      <c r="B4" s="24" t="s">
        <v>24</v>
      </c>
      <c r="O4" s="33"/>
    </row>
    <row r="5" spans="1:15" ht="18.5" x14ac:dyDescent="0.45">
      <c r="A5" s="34"/>
      <c r="B5" s="24" t="s">
        <v>25</v>
      </c>
      <c r="O5" s="35"/>
    </row>
    <row r="6" spans="1:15" ht="18.5" x14ac:dyDescent="0.45">
      <c r="A6" s="34"/>
      <c r="B6" s="24"/>
      <c r="O6" s="35"/>
    </row>
    <row r="7" spans="1:15" ht="15" thickBot="1" x14ac:dyDescent="0.4">
      <c r="A7" s="34"/>
      <c r="O7" s="35"/>
    </row>
    <row r="8" spans="1:15" s="1" customFormat="1" ht="15.5" thickTop="1" thickBot="1" x14ac:dyDescent="0.4">
      <c r="A8" s="36"/>
      <c r="D8" s="67" t="s">
        <v>0</v>
      </c>
      <c r="E8" s="68"/>
      <c r="F8" s="68"/>
      <c r="G8" s="69"/>
      <c r="H8" s="70" t="s">
        <v>1</v>
      </c>
      <c r="I8" s="71"/>
      <c r="J8" s="71"/>
      <c r="K8" s="71"/>
      <c r="L8" s="71"/>
      <c r="M8" s="72"/>
      <c r="O8" s="37"/>
    </row>
    <row r="9" spans="1:15" s="10" customFormat="1" ht="58.5" thickBot="1" x14ac:dyDescent="0.4">
      <c r="A9" s="38"/>
      <c r="B9" s="7" t="s">
        <v>26</v>
      </c>
      <c r="C9" s="8" t="s">
        <v>2</v>
      </c>
      <c r="D9" s="55" t="s">
        <v>3</v>
      </c>
      <c r="E9" s="57" t="s">
        <v>30</v>
      </c>
      <c r="F9" s="57" t="s">
        <v>4</v>
      </c>
      <c r="G9" s="56" t="s">
        <v>5</v>
      </c>
      <c r="H9" s="61" t="s">
        <v>29</v>
      </c>
      <c r="I9" s="63" t="s">
        <v>6</v>
      </c>
      <c r="J9" s="63" t="s">
        <v>7</v>
      </c>
      <c r="K9" s="63" t="s">
        <v>8</v>
      </c>
      <c r="L9" s="63" t="s">
        <v>9</v>
      </c>
      <c r="M9" s="62" t="s">
        <v>10</v>
      </c>
      <c r="N9" s="9" t="s">
        <v>11</v>
      </c>
      <c r="O9" s="39"/>
    </row>
    <row r="10" spans="1:15" s="10" customFormat="1" x14ac:dyDescent="0.35">
      <c r="A10" s="38"/>
      <c r="B10" s="11"/>
      <c r="C10" s="12"/>
      <c r="D10" s="20"/>
      <c r="E10" s="58"/>
      <c r="F10" s="58"/>
      <c r="G10" s="17"/>
      <c r="H10" s="20"/>
      <c r="I10" s="58"/>
      <c r="J10" s="58"/>
      <c r="K10" s="58"/>
      <c r="L10" s="58"/>
      <c r="M10" s="17"/>
      <c r="N10" s="13"/>
      <c r="O10" s="39"/>
    </row>
    <row r="11" spans="1:15" hidden="1" x14ac:dyDescent="0.35">
      <c r="A11" s="34"/>
      <c r="B11" s="14">
        <v>2012</v>
      </c>
      <c r="C11" s="16">
        <f>+'From Yearly Reports'!O6</f>
        <v>98507970</v>
      </c>
      <c r="D11" s="21">
        <f>+'From Yearly Reports'!O7</f>
        <v>3231103</v>
      </c>
      <c r="E11" s="59">
        <f>+'From Yearly Reports'!O8</f>
        <v>10837664</v>
      </c>
      <c r="F11" s="59">
        <f>+'From Yearly Reports'!O9</f>
        <v>5427007</v>
      </c>
      <c r="G11" s="18">
        <f>+'From Yearly Reports'!O10</f>
        <v>3284520</v>
      </c>
      <c r="H11" s="21">
        <f>+'From Yearly Reports'!O13</f>
        <v>11692501</v>
      </c>
      <c r="I11" s="59">
        <f>+'From Yearly Reports'!O12</f>
        <v>0</v>
      </c>
      <c r="J11" s="59">
        <f>+'From Yearly Reports'!O11</f>
        <v>0</v>
      </c>
      <c r="K11" s="59">
        <f>+'From Yearly Reports'!O14</f>
        <v>155457</v>
      </c>
      <c r="L11" s="59">
        <f>+'From Yearly Reports'!O15</f>
        <v>222907</v>
      </c>
      <c r="M11" s="18">
        <f>+'From Yearly Reports'!O16</f>
        <v>358448</v>
      </c>
      <c r="N11" s="4">
        <f>+'From Yearly Reports'!O17</f>
        <v>108858951</v>
      </c>
      <c r="O11" s="35"/>
    </row>
    <row r="12" spans="1:15" hidden="1" x14ac:dyDescent="0.35">
      <c r="A12" s="34"/>
      <c r="B12" s="14">
        <v>2013</v>
      </c>
      <c r="C12" s="16">
        <f>+'From Yearly Reports'!O20</f>
        <v>108858951</v>
      </c>
      <c r="D12" s="21">
        <f>+'From Yearly Reports'!O21</f>
        <v>3829115</v>
      </c>
      <c r="E12" s="59">
        <f>+'From Yearly Reports'!O22</f>
        <v>15624439</v>
      </c>
      <c r="F12" s="59">
        <f>+'From Yearly Reports'!O23</f>
        <v>6140906</v>
      </c>
      <c r="G12" s="18">
        <f>+'From Yearly Reports'!O24</f>
        <v>3605346</v>
      </c>
      <c r="H12" s="21">
        <f>+'From Yearly Reports'!O27</f>
        <v>10966158</v>
      </c>
      <c r="I12" s="59">
        <f>+'From Yearly Reports'!O26</f>
        <v>0</v>
      </c>
      <c r="J12" s="59">
        <f>+'From Yearly Reports'!O25</f>
        <v>0</v>
      </c>
      <c r="K12" s="59">
        <f>+'From Yearly Reports'!O28</f>
        <v>229272</v>
      </c>
      <c r="L12" s="59">
        <f>+'From Yearly Reports'!O29</f>
        <v>303517</v>
      </c>
      <c r="M12" s="18">
        <f>+'From Yearly Reports'!O30</f>
        <v>400577</v>
      </c>
      <c r="N12" s="4">
        <f>+'From Yearly Reports'!O31</f>
        <v>126159233</v>
      </c>
      <c r="O12" s="35"/>
    </row>
    <row r="13" spans="1:15" hidden="1" x14ac:dyDescent="0.35">
      <c r="A13" s="34"/>
      <c r="B13" s="14">
        <v>2014</v>
      </c>
      <c r="C13" s="16">
        <f>+'From Yearly Reports'!O45</f>
        <v>126159233</v>
      </c>
      <c r="D13" s="21">
        <f>+'From Yearly Reports'!O46</f>
        <v>3903190</v>
      </c>
      <c r="E13" s="59">
        <f>+'From Yearly Reports'!O47</f>
        <v>3532563</v>
      </c>
      <c r="F13" s="59">
        <f>+'From Yearly Reports'!O48</f>
        <v>6007048</v>
      </c>
      <c r="G13" s="18">
        <f>+'From Yearly Reports'!O49</f>
        <v>3526756</v>
      </c>
      <c r="H13" s="21">
        <f>+'From Yearly Reports'!O52</f>
        <v>11412556</v>
      </c>
      <c r="I13" s="59">
        <f>+'From Yearly Reports'!O51</f>
        <v>0</v>
      </c>
      <c r="J13" s="59">
        <f>+'From Yearly Reports'!O50</f>
        <v>0</v>
      </c>
      <c r="K13" s="59">
        <f>+'From Yearly Reports'!O53</f>
        <v>200161</v>
      </c>
      <c r="L13" s="59">
        <f>+'From Yearly Reports'!O54</f>
        <v>215379</v>
      </c>
      <c r="M13" s="18">
        <f>+'From Yearly Reports'!O55</f>
        <v>486275</v>
      </c>
      <c r="N13" s="4">
        <f>+'From Yearly Reports'!O56</f>
        <v>130814419</v>
      </c>
      <c r="O13" s="35"/>
    </row>
    <row r="14" spans="1:15" hidden="1" x14ac:dyDescent="0.35">
      <c r="A14" s="34"/>
      <c r="B14" s="14">
        <v>2015</v>
      </c>
      <c r="C14" s="16">
        <f>+'From Yearly Reports'!O77</f>
        <v>130814419</v>
      </c>
      <c r="D14" s="21">
        <f>+'From Yearly Reports'!O78</f>
        <v>2855453</v>
      </c>
      <c r="E14" s="59">
        <f>+'From Yearly Reports'!O79</f>
        <v>-2057239</v>
      </c>
      <c r="F14" s="59">
        <f>+'From Yearly Reports'!O80</f>
        <v>6361276</v>
      </c>
      <c r="G14" s="18">
        <f>+'From Yearly Reports'!O81</f>
        <v>3896613</v>
      </c>
      <c r="H14" s="21">
        <f>+'From Yearly Reports'!O84</f>
        <v>10838584</v>
      </c>
      <c r="I14" s="59">
        <f>+'From Yearly Reports'!O83</f>
        <v>0</v>
      </c>
      <c r="J14" s="59">
        <f>+'From Yearly Reports'!O82</f>
        <v>0</v>
      </c>
      <c r="K14" s="59">
        <f>+'From Yearly Reports'!O85</f>
        <v>252902</v>
      </c>
      <c r="L14" s="59">
        <f>+'From Yearly Reports'!O86</f>
        <v>279729</v>
      </c>
      <c r="M14" s="18">
        <f>+'From Yearly Reports'!O87</f>
        <v>485504</v>
      </c>
      <c r="N14" s="4">
        <f>+'From Yearly Reports'!O88</f>
        <v>130013803</v>
      </c>
      <c r="O14" s="35"/>
    </row>
    <row r="15" spans="1:15" hidden="1" x14ac:dyDescent="0.35">
      <c r="A15" s="34"/>
      <c r="B15" s="14">
        <v>2016</v>
      </c>
      <c r="C15" s="16">
        <f>+'From Yearly Reports'!O91</f>
        <v>130013803</v>
      </c>
      <c r="D15" s="21">
        <f>+'From Yearly Reports'!O92</f>
        <v>2754641</v>
      </c>
      <c r="E15" s="59">
        <f>+'From Yearly Reports'!O93</f>
        <v>5203094</v>
      </c>
      <c r="F15" s="59">
        <f>+'From Yearly Reports'!O94</f>
        <v>6562993</v>
      </c>
      <c r="G15" s="18">
        <f>+'From Yearly Reports'!O95</f>
        <v>4137400</v>
      </c>
      <c r="H15" s="21">
        <f>+'From Yearly Reports'!O98</f>
        <v>13939684</v>
      </c>
      <c r="I15" s="59">
        <f>+'From Yearly Reports'!O97</f>
        <v>0</v>
      </c>
      <c r="J15" s="59">
        <f>+'From Yearly Reports'!O96</f>
        <v>0</v>
      </c>
      <c r="K15" s="59">
        <f>+'From Yearly Reports'!O99</f>
        <v>116376</v>
      </c>
      <c r="L15" s="59">
        <f>+'From Yearly Reports'!O100</f>
        <v>257440</v>
      </c>
      <c r="M15" s="18">
        <f>+'From Yearly Reports'!O101</f>
        <v>456800</v>
      </c>
      <c r="N15" s="4">
        <f>+'From Yearly Reports'!O102</f>
        <v>133901631</v>
      </c>
      <c r="O15" s="35"/>
    </row>
    <row r="16" spans="1:15" hidden="1" x14ac:dyDescent="0.35">
      <c r="A16" s="34"/>
      <c r="B16" s="14">
        <v>2017</v>
      </c>
      <c r="C16" s="16">
        <f>+'From Yearly Reports'!O111</f>
        <v>133901631</v>
      </c>
      <c r="D16" s="21">
        <f>+'From Yearly Reports'!O112</f>
        <v>2826830</v>
      </c>
      <c r="E16" s="59">
        <f>+'From Yearly Reports'!O113</f>
        <v>16260350</v>
      </c>
      <c r="F16" s="59">
        <f>+'From Yearly Reports'!O114</f>
        <v>6562646</v>
      </c>
      <c r="G16" s="18">
        <f>+'From Yearly Reports'!O115</f>
        <v>4137182</v>
      </c>
      <c r="H16" s="21">
        <f>+'From Yearly Reports'!O118</f>
        <v>13970369</v>
      </c>
      <c r="I16" s="59"/>
      <c r="J16" s="59"/>
      <c r="K16" s="59">
        <f>+'From Yearly Reports'!O119</f>
        <v>210140</v>
      </c>
      <c r="L16" s="59">
        <f>+'From Yearly Reports'!O120</f>
        <v>269405</v>
      </c>
      <c r="M16" s="18">
        <f>+'From Yearly Reports'!O121</f>
        <v>505903</v>
      </c>
      <c r="N16" s="4">
        <f>+'From Yearly Reports'!O122</f>
        <v>148732822</v>
      </c>
      <c r="O16" s="35"/>
    </row>
    <row r="17" spans="1:15" hidden="1" x14ac:dyDescent="0.35">
      <c r="A17" s="34"/>
      <c r="B17" s="14">
        <v>2018</v>
      </c>
      <c r="C17" s="16">
        <f>+'From Yearly Reports'!O125</f>
        <v>148732822</v>
      </c>
      <c r="D17" s="21">
        <f>+'From Yearly Reports'!O126</f>
        <v>3082368</v>
      </c>
      <c r="E17" s="59">
        <f>+'From Yearly Reports'!O127</f>
        <v>-7757336</v>
      </c>
      <c r="F17" s="59">
        <f>+'From Yearly Reports'!O128</f>
        <v>6503739</v>
      </c>
      <c r="G17" s="18">
        <f>+'From Yearly Reports'!O129</f>
        <v>4100046</v>
      </c>
      <c r="H17" s="21">
        <f>+'From Yearly Reports'!O132</f>
        <v>13893117</v>
      </c>
      <c r="I17" s="59"/>
      <c r="J17" s="59"/>
      <c r="K17" s="59">
        <f>+'From Yearly Reports'!O133</f>
        <v>152769</v>
      </c>
      <c r="L17" s="59">
        <f>+'From Yearly Reports'!O134</f>
        <v>252645</v>
      </c>
      <c r="M17" s="18">
        <f>+'From Yearly Reports'!O135</f>
        <v>552022</v>
      </c>
      <c r="N17" s="4">
        <f>+'From Yearly Reports'!O136</f>
        <v>139811086</v>
      </c>
      <c r="O17" s="35"/>
    </row>
    <row r="18" spans="1:15" x14ac:dyDescent="0.35">
      <c r="A18" s="34"/>
      <c r="B18" s="14">
        <v>2019</v>
      </c>
      <c r="C18" s="16">
        <f>+'From Yearly Reports'!O155</f>
        <v>139811086</v>
      </c>
      <c r="D18" s="21">
        <f>+'From Yearly Reports'!O156</f>
        <v>2800497</v>
      </c>
      <c r="E18" s="59">
        <f>+'From Yearly Reports'!O157</f>
        <v>18617826</v>
      </c>
      <c r="F18" s="59">
        <f>+'From Yearly Reports'!O158</f>
        <v>7040090</v>
      </c>
      <c r="G18" s="18">
        <f>+'From Yearly Reports'!O159</f>
        <v>4412568</v>
      </c>
      <c r="H18" s="21">
        <f>+'From Yearly Reports'!O162</f>
        <v>14214801</v>
      </c>
      <c r="I18" s="59"/>
      <c r="J18" s="59"/>
      <c r="K18" s="59">
        <f>+'From Yearly Reports'!O163</f>
        <v>61163</v>
      </c>
      <c r="L18" s="59">
        <f>+'From Yearly Reports'!O164</f>
        <v>316029</v>
      </c>
      <c r="M18" s="18">
        <f>+'From Yearly Reports'!O165</f>
        <v>502933</v>
      </c>
      <c r="N18" s="4">
        <f>+'From Yearly Reports'!O166</f>
        <v>157587141</v>
      </c>
      <c r="O18" s="35"/>
    </row>
    <row r="19" spans="1:15" x14ac:dyDescent="0.35">
      <c r="A19" s="34"/>
      <c r="B19" s="14">
        <v>2020</v>
      </c>
      <c r="C19" s="16">
        <f>+N18</f>
        <v>157587141</v>
      </c>
      <c r="D19" s="21">
        <f>+'From Yearly Reports'!O186</f>
        <v>2346812</v>
      </c>
      <c r="E19" s="59">
        <f>+'From Yearly Reports'!O187</f>
        <v>19365905</v>
      </c>
      <c r="F19" s="59">
        <f>+'From Yearly Reports'!O188</f>
        <v>8414319</v>
      </c>
      <c r="G19" s="18">
        <f>+'From Yearly Reports'!O189</f>
        <v>5123960</v>
      </c>
      <c r="H19" s="21">
        <f>+'From Yearly Reports'!O192</f>
        <v>15078012</v>
      </c>
      <c r="I19" s="59"/>
      <c r="J19" s="59"/>
      <c r="K19" s="59">
        <f>+'From Yearly Reports'!O193</f>
        <v>374936</v>
      </c>
      <c r="L19" s="59">
        <f>+'From Yearly Reports'!O194</f>
        <v>269765</v>
      </c>
      <c r="M19" s="18">
        <f>+'From Yearly Reports'!O195</f>
        <v>428620</v>
      </c>
      <c r="N19" s="4">
        <f>+C19+D19+E19+F19+G19-H19-K19-L19-M19</f>
        <v>176686804</v>
      </c>
      <c r="O19" s="35"/>
    </row>
    <row r="20" spans="1:15" x14ac:dyDescent="0.35">
      <c r="A20" s="34"/>
      <c r="B20" s="14">
        <v>2021</v>
      </c>
      <c r="C20" s="16">
        <f>+N19</f>
        <v>176686804</v>
      </c>
      <c r="D20" s="21">
        <f>+'From Yearly Reports'!O220</f>
        <v>2608295</v>
      </c>
      <c r="E20" s="59">
        <f>+'From Yearly Reports'!O221</f>
        <v>15424106</v>
      </c>
      <c r="F20" s="59">
        <f>+'From Yearly Reports'!O222</f>
        <v>9488575</v>
      </c>
      <c r="G20" s="18">
        <f>+'From Yearly Reports'!O223</f>
        <v>5521762</v>
      </c>
      <c r="H20" s="21">
        <f>+'From Yearly Reports'!O226</f>
        <v>15315851</v>
      </c>
      <c r="I20" s="59"/>
      <c r="J20" s="59"/>
      <c r="K20" s="59">
        <f>+'From Yearly Reports'!O227</f>
        <v>143656</v>
      </c>
      <c r="L20" s="59">
        <f>+'From Yearly Reports'!O228</f>
        <v>345864</v>
      </c>
      <c r="M20" s="18">
        <f>+'From Yearly Reports'!O229</f>
        <v>545464</v>
      </c>
      <c r="N20" s="4">
        <f>+C20+D20+E20+F20+G20-H20-K20-L20-M20</f>
        <v>193378707</v>
      </c>
      <c r="O20" s="35"/>
    </row>
    <row r="21" spans="1:15" x14ac:dyDescent="0.35">
      <c r="A21" s="34"/>
      <c r="B21" s="14">
        <v>2022</v>
      </c>
      <c r="C21" s="16">
        <f>+N20</f>
        <v>193378707</v>
      </c>
      <c r="D21" s="21">
        <f>+'From Yearly Reports'!O247</f>
        <v>2891590</v>
      </c>
      <c r="E21" s="59">
        <f>+'From Yearly Reports'!O248</f>
        <v>-29610786</v>
      </c>
      <c r="F21" s="59">
        <f>+'From Yearly Reports'!O249</f>
        <v>9447617</v>
      </c>
      <c r="G21" s="18">
        <f>+'From Yearly Reports'!O250</f>
        <v>5616586</v>
      </c>
      <c r="H21" s="21">
        <f>+'From Yearly Reports'!O253</f>
        <v>14208937</v>
      </c>
      <c r="I21" s="59"/>
      <c r="J21" s="59"/>
      <c r="K21" s="59">
        <f>+'From Yearly Reports'!O254</f>
        <v>438130</v>
      </c>
      <c r="L21" s="59">
        <f>+'From Yearly Reports'!O255</f>
        <v>298963</v>
      </c>
      <c r="M21" s="18">
        <f>+'From Yearly Reports'!O256</f>
        <v>478763</v>
      </c>
      <c r="N21" s="4">
        <f>+C21+D21+E21+F21+G21-H21-K21-L21-M21</f>
        <v>166298921</v>
      </c>
      <c r="O21" s="35"/>
    </row>
    <row r="22" spans="1:15" x14ac:dyDescent="0.35">
      <c r="A22" s="34"/>
      <c r="B22" s="14">
        <v>2023</v>
      </c>
      <c r="C22" s="16">
        <f>+N21</f>
        <v>166298921</v>
      </c>
      <c r="D22" s="21">
        <f>+'From Yearly Reports'!O282</f>
        <v>3632951</v>
      </c>
      <c r="E22" s="59">
        <f>+'From Yearly Reports'!O283</f>
        <v>13922848</v>
      </c>
      <c r="F22" s="59">
        <f>+'From Yearly Reports'!O284</f>
        <v>10278794</v>
      </c>
      <c r="G22" s="18">
        <f>+'From Yearly Reports'!O285</f>
        <v>5847654</v>
      </c>
      <c r="H22" s="21">
        <f>+'From Yearly Reports'!O288</f>
        <v>15567100</v>
      </c>
      <c r="I22" s="59"/>
      <c r="J22" s="59"/>
      <c r="K22" s="59">
        <f>+'From Yearly Reports'!O289</f>
        <v>245562</v>
      </c>
      <c r="L22" s="59">
        <f>+'From Yearly Reports'!O290</f>
        <v>392743</v>
      </c>
      <c r="M22" s="18">
        <f>+'From Yearly Reports'!O291</f>
        <v>515803</v>
      </c>
      <c r="N22" s="4">
        <f>+C22+D22+E22+F22+G22-H22-K22-L22-M22</f>
        <v>183259960</v>
      </c>
      <c r="O22" s="35"/>
    </row>
    <row r="23" spans="1:15" ht="15" thickBot="1" x14ac:dyDescent="0.4">
      <c r="A23" s="34"/>
      <c r="B23" s="15"/>
      <c r="C23" s="6"/>
      <c r="D23" s="22"/>
      <c r="E23" s="60"/>
      <c r="F23" s="60"/>
      <c r="G23" s="19"/>
      <c r="H23" s="22"/>
      <c r="I23" s="60"/>
      <c r="J23" s="60"/>
      <c r="K23" s="60"/>
      <c r="L23" s="60"/>
      <c r="M23" s="19"/>
      <c r="N23" s="5"/>
      <c r="O23" s="35"/>
    </row>
    <row r="24" spans="1:15" x14ac:dyDescent="0.35">
      <c r="A24" s="34"/>
      <c r="O24" s="35"/>
    </row>
    <row r="25" spans="1:15" x14ac:dyDescent="0.35">
      <c r="A25" s="34"/>
      <c r="B25" s="40"/>
      <c r="O25" s="35"/>
    </row>
    <row r="26" spans="1:15" x14ac:dyDescent="0.35">
      <c r="A26" s="34"/>
      <c r="C26" s="41"/>
      <c r="O26" s="35"/>
    </row>
    <row r="27" spans="1:15" x14ac:dyDescent="0.35">
      <c r="A27" s="34"/>
      <c r="O27" s="35"/>
    </row>
    <row r="28" spans="1:15" x14ac:dyDescent="0.35">
      <c r="A28" s="34"/>
      <c r="O28" s="35"/>
    </row>
    <row r="29" spans="1:15" x14ac:dyDescent="0.35">
      <c r="A29" s="34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5"/>
    </row>
    <row r="30" spans="1:15" x14ac:dyDescent="0.35">
      <c r="A30" s="34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35"/>
    </row>
    <row r="31" spans="1:15" x14ac:dyDescent="0.35">
      <c r="A31" s="34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35"/>
    </row>
    <row r="32" spans="1:15" x14ac:dyDescent="0.35">
      <c r="A32" s="34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35"/>
    </row>
    <row r="33" spans="1:15" x14ac:dyDescent="0.35">
      <c r="A33" s="34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35"/>
    </row>
    <row r="34" spans="1:15" x14ac:dyDescent="0.35">
      <c r="A34" s="34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35"/>
    </row>
    <row r="35" spans="1:15" x14ac:dyDescent="0.35">
      <c r="A35" s="34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35"/>
    </row>
    <row r="36" spans="1:15" x14ac:dyDescent="0.35">
      <c r="A36" s="34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35"/>
    </row>
    <row r="37" spans="1:15" x14ac:dyDescent="0.35">
      <c r="A37" s="34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35"/>
    </row>
    <row r="38" spans="1:15" x14ac:dyDescent="0.35">
      <c r="A38" s="34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35"/>
    </row>
    <row r="39" spans="1:15" x14ac:dyDescent="0.35">
      <c r="A39" s="34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5"/>
    </row>
    <row r="40" spans="1:15" x14ac:dyDescent="0.35">
      <c r="A40" s="34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35"/>
    </row>
    <row r="41" spans="1:15" x14ac:dyDescent="0.35">
      <c r="A41" s="34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35"/>
    </row>
    <row r="42" spans="1:15" x14ac:dyDescent="0.35">
      <c r="A42" s="34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35"/>
    </row>
    <row r="43" spans="1:15" x14ac:dyDescent="0.35">
      <c r="A43" s="3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35"/>
    </row>
    <row r="44" spans="1:15" x14ac:dyDescent="0.35">
      <c r="A44" s="34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35"/>
    </row>
    <row r="45" spans="1:15" x14ac:dyDescent="0.35">
      <c r="A45" s="34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35"/>
    </row>
    <row r="46" spans="1:15" s="27" customFormat="1" ht="13" hidden="1" x14ac:dyDescent="0.3">
      <c r="A46" s="44"/>
      <c r="B46" s="45" t="s">
        <v>27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6"/>
    </row>
    <row r="47" spans="1:15" s="27" customFormat="1" ht="26" hidden="1" x14ac:dyDescent="0.3">
      <c r="A47" s="44"/>
      <c r="B47" s="45"/>
      <c r="C47" s="47" t="str">
        <f>+'From Yearly Reports'!P91</f>
        <v>Beg Bal</v>
      </c>
      <c r="D47" s="48" t="str">
        <f>+'From Yearly Reports'!P92</f>
        <v>Net Investment</v>
      </c>
      <c r="E47" s="48" t="str">
        <f>+'From Yearly Reports'!P93</f>
        <v>Other Net Investment</v>
      </c>
      <c r="F47" s="48" t="str">
        <f>+'From Yearly Reports'!P94</f>
        <v>ER Contributions</v>
      </c>
      <c r="G47" s="48" t="str">
        <f>+'From Yearly Reports'!P95</f>
        <v>EE Contributions</v>
      </c>
      <c r="H47" s="48" t="str">
        <f>+'From Yearly Reports'!P96</f>
        <v>Service Retirements</v>
      </c>
      <c r="I47" s="48" t="str">
        <f>+'From Yearly Reports'!P97</f>
        <v>Disability Retirements</v>
      </c>
      <c r="J47" s="47" t="str">
        <f>+'From Yearly Reports'!P98</f>
        <v>Distributions</v>
      </c>
      <c r="K47" s="48" t="str">
        <f>+'From Yearly Reports'!P99</f>
        <v>Refunds of Contributions</v>
      </c>
      <c r="L47" s="47" t="str">
        <f>+'From Yearly Reports'!P100</f>
        <v>Admin Exp</v>
      </c>
      <c r="M47" s="48" t="str">
        <f>+'From Yearly Reports'!P101</f>
        <v>Other Activity</v>
      </c>
      <c r="N47" s="47" t="str">
        <f>+'From Yearly Reports'!P102</f>
        <v>End Bal</v>
      </c>
      <c r="O47" s="46"/>
    </row>
    <row r="48" spans="1:15" s="28" customFormat="1" ht="13" hidden="1" x14ac:dyDescent="0.3">
      <c r="A48" s="49"/>
      <c r="B48" s="50"/>
      <c r="C48" s="50">
        <f>SUMIF('From Yearly Reports'!$P:$P,Summary!C47,'From Yearly Reports'!$O:$O)</f>
        <v>1710751488</v>
      </c>
      <c r="D48" s="50">
        <f>SUMIF('From Yearly Reports'!$P:$P,Summary!D47,'From Yearly Reports'!$O:$O)+'From Yearly Reports'!O11+'From Yearly Reports'!O23</f>
        <v>42903751</v>
      </c>
      <c r="E48" s="50">
        <f>SUMIF('From Yearly Reports'!$P:$P,Summary!E47,'From Yearly Reports'!$O:$O)</f>
        <v>79363434</v>
      </c>
      <c r="F48" s="50">
        <f>SUMIF('From Yearly Reports'!$P:$P,Summary!F47,'From Yearly Reports'!$O:$O)</f>
        <v>88235010</v>
      </c>
      <c r="G48" s="50">
        <f>SUMIF('From Yearly Reports'!$P:$P,Summary!G47,'From Yearly Reports'!$O:$O)</f>
        <v>53210393</v>
      </c>
      <c r="H48" s="50">
        <f>SUMIF('From Yearly Reports'!$P:$P,Summary!H47,'From Yearly Reports'!$O:$O)</f>
        <v>0</v>
      </c>
      <c r="I48" s="50">
        <f>SUMIF('From Yearly Reports'!$P:$P,Summary!I47,'From Yearly Reports'!$O:$O)</f>
        <v>0</v>
      </c>
      <c r="J48" s="50">
        <f>SUMIF('From Yearly Reports'!$P:$P,Summary!J47,'From Yearly Reports'!$O:$O)</f>
        <v>161097670</v>
      </c>
      <c r="K48" s="50">
        <f>SUMIF('From Yearly Reports'!$P:$P,Summary!K47,'From Yearly Reports'!$O:$O)</f>
        <v>2580524</v>
      </c>
      <c r="L48" s="50">
        <f>SUMIF('From Yearly Reports'!$P:$P,Summary!L47,'From Yearly Reports'!$O:$O)</f>
        <v>3424386</v>
      </c>
      <c r="M48" s="50">
        <f>SUMIF('From Yearly Reports'!$P:$P,Summary!M47,'From Yearly Reports'!$O:$O)+'From Yearly Reports'!O28+'From Yearly Reports'!O16</f>
        <v>6304832</v>
      </c>
      <c r="N48" s="50">
        <f>SUMIF('From Yearly Reports'!$P:$P,Summary!N47,'From Yearly Reports'!$O:$O)</f>
        <v>1795503478</v>
      </c>
      <c r="O48" s="51"/>
    </row>
    <row r="49" spans="1:15" s="28" customFormat="1" ht="13" hidden="1" x14ac:dyDescent="0.3">
      <c r="A49" s="49"/>
      <c r="B49" s="50"/>
      <c r="C49" s="50">
        <f t="shared" ref="C49:N49" si="0">SUM(C10:C23)</f>
        <v>1710751488</v>
      </c>
      <c r="D49" s="50">
        <f t="shared" si="0"/>
        <v>36762845</v>
      </c>
      <c r="E49" s="50">
        <f t="shared" si="0"/>
        <v>79363434</v>
      </c>
      <c r="F49" s="50">
        <f t="shared" si="0"/>
        <v>88235010</v>
      </c>
      <c r="G49" s="50">
        <f t="shared" si="0"/>
        <v>53210393</v>
      </c>
      <c r="H49" s="50">
        <f t="shared" si="0"/>
        <v>161097670</v>
      </c>
      <c r="I49" s="50">
        <f t="shared" si="0"/>
        <v>0</v>
      </c>
      <c r="J49" s="50">
        <f t="shared" si="0"/>
        <v>0</v>
      </c>
      <c r="K49" s="50">
        <f t="shared" si="0"/>
        <v>2580524</v>
      </c>
      <c r="L49" s="50">
        <f t="shared" si="0"/>
        <v>3424386</v>
      </c>
      <c r="M49" s="50">
        <f t="shared" si="0"/>
        <v>5717112</v>
      </c>
      <c r="N49" s="50">
        <f t="shared" si="0"/>
        <v>1795503478</v>
      </c>
      <c r="O49" s="51"/>
    </row>
    <row r="50" spans="1:15" s="28" customFormat="1" ht="13" hidden="1" x14ac:dyDescent="0.3">
      <c r="A50" s="49"/>
      <c r="B50" s="50"/>
      <c r="C50" s="50">
        <f>+C48-C49</f>
        <v>0</v>
      </c>
      <c r="D50" s="50">
        <f t="shared" ref="D50:N50" si="1">+D48-D49</f>
        <v>6140906</v>
      </c>
      <c r="E50" s="50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-161097670</v>
      </c>
      <c r="I50" s="50">
        <f t="shared" si="1"/>
        <v>0</v>
      </c>
      <c r="J50" s="50">
        <f t="shared" si="1"/>
        <v>161097670</v>
      </c>
      <c r="K50" s="50">
        <f t="shared" si="1"/>
        <v>0</v>
      </c>
      <c r="L50" s="50">
        <f t="shared" si="1"/>
        <v>0</v>
      </c>
      <c r="M50" s="50">
        <f t="shared" si="1"/>
        <v>587720</v>
      </c>
      <c r="N50" s="50">
        <f t="shared" si="1"/>
        <v>0</v>
      </c>
      <c r="O50" s="51"/>
    </row>
    <row r="51" spans="1:15" ht="15" thickBot="1" x14ac:dyDescent="0.4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  <row r="52" spans="1:15" ht="15" thickTop="1" x14ac:dyDescent="0.35"/>
  </sheetData>
  <mergeCells count="2">
    <mergeCell ref="D8:G8"/>
    <mergeCell ref="H8:M8"/>
  </mergeCells>
  <pageMargins left="0.2" right="0.2" top="0" bottom="0" header="0" footer="0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3"/>
  <sheetViews>
    <sheetView topLeftCell="A269" workbookViewId="0">
      <selection activeCell="O299" sqref="O299"/>
    </sheetView>
  </sheetViews>
  <sheetFormatPr defaultRowHeight="18.5" x14ac:dyDescent="0.45"/>
  <cols>
    <col min="1" max="1" width="8.7265625" style="24" customWidth="1"/>
    <col min="14" max="14" width="2.26953125" customWidth="1"/>
    <col min="15" max="15" width="16.1796875" style="2" bestFit="1" customWidth="1"/>
    <col min="16" max="16" width="23.26953125" style="2" bestFit="1" customWidth="1"/>
    <col min="17" max="17" width="14.7265625" style="2" hidden="1" customWidth="1"/>
    <col min="18" max="22" width="13.7265625" style="2" hidden="1" customWidth="1"/>
    <col min="23" max="25" width="12.54296875" style="2" hidden="1" customWidth="1"/>
    <col min="26" max="26" width="14.7265625" hidden="1" customWidth="1"/>
  </cols>
  <sheetData>
    <row r="1" spans="1:16" x14ac:dyDescent="0.45">
      <c r="A1" s="24" t="s">
        <v>13</v>
      </c>
    </row>
    <row r="2" spans="1:16" x14ac:dyDescent="0.45">
      <c r="A2" s="24" t="s">
        <v>24</v>
      </c>
    </row>
    <row r="3" spans="1:16" x14ac:dyDescent="0.45">
      <c r="A3" s="24" t="s">
        <v>25</v>
      </c>
    </row>
    <row r="5" spans="1:16" x14ac:dyDescent="0.45">
      <c r="A5" s="23" t="s">
        <v>12</v>
      </c>
    </row>
    <row r="6" spans="1:16" x14ac:dyDescent="0.45">
      <c r="O6" s="2">
        <v>98507970</v>
      </c>
      <c r="P6" s="2" t="s">
        <v>14</v>
      </c>
    </row>
    <row r="7" spans="1:16" x14ac:dyDescent="0.45">
      <c r="O7" s="2">
        <f>2084107+1146996</f>
        <v>3231103</v>
      </c>
      <c r="P7" s="2" t="s">
        <v>21</v>
      </c>
    </row>
    <row r="8" spans="1:16" x14ac:dyDescent="0.45">
      <c r="O8" s="2">
        <f>10837664</f>
        <v>10837664</v>
      </c>
      <c r="P8" s="2" t="s">
        <v>22</v>
      </c>
    </row>
    <row r="9" spans="1:16" x14ac:dyDescent="0.45">
      <c r="O9" s="2">
        <v>5427007</v>
      </c>
      <c r="P9" s="2" t="s">
        <v>15</v>
      </c>
    </row>
    <row r="10" spans="1:16" x14ac:dyDescent="0.45">
      <c r="O10" s="2">
        <v>3284520</v>
      </c>
      <c r="P10" s="2" t="s">
        <v>16</v>
      </c>
    </row>
    <row r="11" spans="1:16" x14ac:dyDescent="0.45">
      <c r="P11" s="2" t="s">
        <v>17</v>
      </c>
    </row>
    <row r="12" spans="1:16" x14ac:dyDescent="0.45">
      <c r="P12" s="2" t="s">
        <v>18</v>
      </c>
    </row>
    <row r="13" spans="1:16" x14ac:dyDescent="0.45">
      <c r="O13" s="2">
        <v>11692501</v>
      </c>
      <c r="P13" s="2" t="s">
        <v>19</v>
      </c>
    </row>
    <row r="14" spans="1:16" x14ac:dyDescent="0.45">
      <c r="O14" s="2">
        <v>155457</v>
      </c>
      <c r="P14" s="2" t="s">
        <v>8</v>
      </c>
    </row>
    <row r="15" spans="1:16" x14ac:dyDescent="0.45">
      <c r="O15" s="2">
        <v>222907</v>
      </c>
      <c r="P15" s="2" t="s">
        <v>23</v>
      </c>
    </row>
    <row r="16" spans="1:16" x14ac:dyDescent="0.45">
      <c r="O16" s="2">
        <v>358448</v>
      </c>
      <c r="P16" s="2" t="s">
        <v>10</v>
      </c>
    </row>
    <row r="17" spans="1:16" ht="19" thickBot="1" x14ac:dyDescent="0.5">
      <c r="O17" s="26">
        <f>+O6+O7+O8+O9+O10-O11-O12-O13-O14-O15-O16</f>
        <v>108858951</v>
      </c>
      <c r="P17" s="2" t="s">
        <v>20</v>
      </c>
    </row>
    <row r="18" spans="1:16" ht="19" thickTop="1" x14ac:dyDescent="0.45">
      <c r="A18" s="24">
        <v>2013</v>
      </c>
      <c r="O18" s="2">
        <f>+O17-O20</f>
        <v>0</v>
      </c>
    </row>
    <row r="19" spans="1:16" x14ac:dyDescent="0.45">
      <c r="O19" s="2">
        <f>+Summary!N11-'From Yearly Reports'!O17</f>
        <v>0</v>
      </c>
    </row>
    <row r="20" spans="1:16" x14ac:dyDescent="0.45">
      <c r="O20" s="2">
        <v>108858951</v>
      </c>
      <c r="P20" s="2" t="s">
        <v>14</v>
      </c>
    </row>
    <row r="21" spans="1:16" x14ac:dyDescent="0.45">
      <c r="O21" s="2">
        <f>1973553+1855562</f>
        <v>3829115</v>
      </c>
      <c r="P21" s="2" t="s">
        <v>21</v>
      </c>
    </row>
    <row r="22" spans="1:16" x14ac:dyDescent="0.45">
      <c r="O22" s="2">
        <f>15624439</f>
        <v>15624439</v>
      </c>
      <c r="P22" s="2" t="s">
        <v>22</v>
      </c>
    </row>
    <row r="23" spans="1:16" x14ac:dyDescent="0.45">
      <c r="O23" s="2">
        <v>6140906</v>
      </c>
      <c r="P23" s="2" t="s">
        <v>15</v>
      </c>
    </row>
    <row r="24" spans="1:16" x14ac:dyDescent="0.45">
      <c r="O24" s="2">
        <v>3605346</v>
      </c>
      <c r="P24" s="2" t="s">
        <v>16</v>
      </c>
    </row>
    <row r="25" spans="1:16" x14ac:dyDescent="0.45">
      <c r="P25" s="2" t="s">
        <v>17</v>
      </c>
    </row>
    <row r="26" spans="1:16" x14ac:dyDescent="0.45">
      <c r="P26" s="2" t="s">
        <v>18</v>
      </c>
    </row>
    <row r="27" spans="1:16" x14ac:dyDescent="0.45">
      <c r="O27" s="2">
        <v>10966158</v>
      </c>
      <c r="P27" s="2" t="s">
        <v>19</v>
      </c>
    </row>
    <row r="28" spans="1:16" x14ac:dyDescent="0.45">
      <c r="O28" s="2">
        <v>229272</v>
      </c>
      <c r="P28" s="2" t="s">
        <v>8</v>
      </c>
    </row>
    <row r="29" spans="1:16" x14ac:dyDescent="0.45">
      <c r="O29" s="2">
        <v>303517</v>
      </c>
      <c r="P29" s="2" t="s">
        <v>23</v>
      </c>
    </row>
    <row r="30" spans="1:16" x14ac:dyDescent="0.45">
      <c r="O30" s="2">
        <v>400577</v>
      </c>
      <c r="P30" s="2" t="s">
        <v>10</v>
      </c>
    </row>
    <row r="31" spans="1:16" ht="19" thickBot="1" x14ac:dyDescent="0.5">
      <c r="O31" s="26">
        <f>+O20+O21+O22+O23+O24-O25-O26-O27-O28-O29-O30</f>
        <v>126159233</v>
      </c>
      <c r="P31" s="2" t="s">
        <v>20</v>
      </c>
    </row>
    <row r="32" spans="1:16" ht="19" thickTop="1" x14ac:dyDescent="0.45">
      <c r="O32" s="2">
        <f>+O31-O45</f>
        <v>0</v>
      </c>
    </row>
    <row r="33" spans="1:16" x14ac:dyDescent="0.45">
      <c r="O33" s="2">
        <f>+Summary!N12-'From Yearly Reports'!O31</f>
        <v>0</v>
      </c>
    </row>
    <row r="44" spans="1:16" x14ac:dyDescent="0.45">
      <c r="A44" s="24">
        <v>2014</v>
      </c>
    </row>
    <row r="45" spans="1:16" x14ac:dyDescent="0.45">
      <c r="O45" s="2">
        <v>126159233</v>
      </c>
      <c r="P45" s="2" t="s">
        <v>14</v>
      </c>
    </row>
    <row r="46" spans="1:16" x14ac:dyDescent="0.45">
      <c r="O46" s="2">
        <f>1900285+2002905</f>
        <v>3903190</v>
      </c>
      <c r="P46" s="2" t="s">
        <v>21</v>
      </c>
    </row>
    <row r="47" spans="1:16" x14ac:dyDescent="0.45">
      <c r="O47" s="2">
        <f>3532563</f>
        <v>3532563</v>
      </c>
      <c r="P47" s="2" t="s">
        <v>22</v>
      </c>
    </row>
    <row r="48" spans="1:16" x14ac:dyDescent="0.45">
      <c r="O48" s="2">
        <v>6007048</v>
      </c>
      <c r="P48" s="2" t="s">
        <v>15</v>
      </c>
    </row>
    <row r="49" spans="15:16" x14ac:dyDescent="0.45">
      <c r="O49" s="2">
        <v>3526756</v>
      </c>
      <c r="P49" s="2" t="s">
        <v>16</v>
      </c>
    </row>
    <row r="50" spans="15:16" x14ac:dyDescent="0.45">
      <c r="P50" s="2" t="s">
        <v>17</v>
      </c>
    </row>
    <row r="51" spans="15:16" x14ac:dyDescent="0.45">
      <c r="P51" s="2" t="s">
        <v>18</v>
      </c>
    </row>
    <row r="52" spans="15:16" x14ac:dyDescent="0.45">
      <c r="O52" s="2">
        <v>11412556</v>
      </c>
      <c r="P52" s="2" t="s">
        <v>19</v>
      </c>
    </row>
    <row r="53" spans="15:16" x14ac:dyDescent="0.45">
      <c r="O53" s="2">
        <v>200161</v>
      </c>
      <c r="P53" s="2" t="s">
        <v>8</v>
      </c>
    </row>
    <row r="54" spans="15:16" x14ac:dyDescent="0.45">
      <c r="O54" s="2">
        <v>215379</v>
      </c>
      <c r="P54" s="2" t="s">
        <v>23</v>
      </c>
    </row>
    <row r="55" spans="15:16" x14ac:dyDescent="0.45">
      <c r="O55" s="2">
        <v>486275</v>
      </c>
      <c r="P55" s="2" t="s">
        <v>10</v>
      </c>
    </row>
    <row r="56" spans="15:16" ht="19" thickBot="1" x14ac:dyDescent="0.5">
      <c r="O56" s="26">
        <f>+O45+O46+O47+O48+O49-O50-O51-O52-O53-O54-O55</f>
        <v>130814419</v>
      </c>
      <c r="P56" s="2" t="s">
        <v>20</v>
      </c>
    </row>
    <row r="57" spans="15:16" ht="19" thickTop="1" x14ac:dyDescent="0.45">
      <c r="O57" s="64">
        <f>+O56-O77</f>
        <v>0</v>
      </c>
    </row>
    <row r="58" spans="15:16" x14ac:dyDescent="0.45">
      <c r="O58" s="64">
        <f>+Summary!N13-'From Yearly Reports'!O56</f>
        <v>0</v>
      </c>
    </row>
    <row r="59" spans="15:16" x14ac:dyDescent="0.45">
      <c r="O59" s="64"/>
    </row>
    <row r="60" spans="15:16" x14ac:dyDescent="0.45">
      <c r="O60" s="64"/>
    </row>
    <row r="61" spans="15:16" x14ac:dyDescent="0.45">
      <c r="O61" s="64"/>
    </row>
    <row r="62" spans="15:16" x14ac:dyDescent="0.45">
      <c r="O62" s="64"/>
    </row>
    <row r="63" spans="15:16" x14ac:dyDescent="0.45">
      <c r="O63" s="64"/>
    </row>
    <row r="64" spans="15:16" x14ac:dyDescent="0.45">
      <c r="O64" s="64"/>
    </row>
    <row r="65" spans="1:20" x14ac:dyDescent="0.45">
      <c r="O65" s="64"/>
    </row>
    <row r="66" spans="1:20" x14ac:dyDescent="0.45">
      <c r="O66" s="64"/>
    </row>
    <row r="67" spans="1:20" x14ac:dyDescent="0.45">
      <c r="O67" s="64"/>
    </row>
    <row r="68" spans="1:20" x14ac:dyDescent="0.45">
      <c r="O68" s="64"/>
    </row>
    <row r="69" spans="1:20" x14ac:dyDescent="0.45">
      <c r="O69" s="64"/>
    </row>
    <row r="70" spans="1:20" x14ac:dyDescent="0.45">
      <c r="O70" s="64"/>
    </row>
    <row r="71" spans="1:20" x14ac:dyDescent="0.45">
      <c r="O71" s="64"/>
    </row>
    <row r="72" spans="1:20" x14ac:dyDescent="0.45">
      <c r="O72" s="64"/>
    </row>
    <row r="73" spans="1:20" x14ac:dyDescent="0.45">
      <c r="O73" s="64"/>
    </row>
    <row r="74" spans="1:20" x14ac:dyDescent="0.45">
      <c r="O74" s="64"/>
    </row>
    <row r="75" spans="1:20" x14ac:dyDescent="0.45">
      <c r="O75" s="64"/>
    </row>
    <row r="76" spans="1:20" x14ac:dyDescent="0.45">
      <c r="A76" s="24">
        <v>2015</v>
      </c>
    </row>
    <row r="77" spans="1:20" x14ac:dyDescent="0.45">
      <c r="O77" s="2">
        <v>130814419</v>
      </c>
      <c r="P77" s="2" t="s">
        <v>14</v>
      </c>
      <c r="Q77" s="2">
        <f>+O77</f>
        <v>130814419</v>
      </c>
    </row>
    <row r="78" spans="1:20" x14ac:dyDescent="0.45">
      <c r="O78" s="2">
        <f>1730034+1125419</f>
        <v>2855453</v>
      </c>
      <c r="P78" s="2" t="s">
        <v>21</v>
      </c>
      <c r="R78" s="2">
        <f>+O78</f>
        <v>2855453</v>
      </c>
    </row>
    <row r="79" spans="1:20" x14ac:dyDescent="0.45">
      <c r="O79" s="2">
        <f>-2057239</f>
        <v>-2057239</v>
      </c>
      <c r="P79" s="2" t="s">
        <v>22</v>
      </c>
      <c r="S79" s="2">
        <f>+O79</f>
        <v>-2057239</v>
      </c>
    </row>
    <row r="80" spans="1:20" x14ac:dyDescent="0.45">
      <c r="O80" s="2">
        <v>6361276</v>
      </c>
      <c r="P80" s="2" t="s">
        <v>15</v>
      </c>
      <c r="T80" s="2">
        <f>+O80</f>
        <v>6361276</v>
      </c>
    </row>
    <row r="81" spans="1:26" x14ac:dyDescent="0.45">
      <c r="O81" s="2">
        <v>3896613</v>
      </c>
      <c r="P81" s="2" t="s">
        <v>16</v>
      </c>
      <c r="U81" s="2">
        <f>+O81</f>
        <v>3896613</v>
      </c>
    </row>
    <row r="82" spans="1:26" x14ac:dyDescent="0.45">
      <c r="P82" s="2" t="s">
        <v>17</v>
      </c>
    </row>
    <row r="83" spans="1:26" x14ac:dyDescent="0.45">
      <c r="P83" s="2" t="s">
        <v>18</v>
      </c>
    </row>
    <row r="84" spans="1:26" x14ac:dyDescent="0.45">
      <c r="O84" s="2">
        <v>10838584</v>
      </c>
      <c r="P84" s="2" t="s">
        <v>19</v>
      </c>
      <c r="V84" s="2">
        <f>+O84</f>
        <v>10838584</v>
      </c>
    </row>
    <row r="85" spans="1:26" x14ac:dyDescent="0.45">
      <c r="O85" s="2">
        <v>252902</v>
      </c>
      <c r="P85" s="2" t="s">
        <v>8</v>
      </c>
      <c r="W85" s="2">
        <f>+O85</f>
        <v>252902</v>
      </c>
    </row>
    <row r="86" spans="1:26" x14ac:dyDescent="0.45">
      <c r="O86" s="2">
        <v>279729</v>
      </c>
      <c r="P86" s="2" t="s">
        <v>23</v>
      </c>
      <c r="X86" s="2">
        <f>+O86</f>
        <v>279729</v>
      </c>
    </row>
    <row r="87" spans="1:26" x14ac:dyDescent="0.45">
      <c r="O87" s="2">
        <v>485504</v>
      </c>
      <c r="P87" s="2" t="s">
        <v>10</v>
      </c>
      <c r="Y87" s="2">
        <f>+O87</f>
        <v>485504</v>
      </c>
    </row>
    <row r="88" spans="1:26" ht="19" thickBot="1" x14ac:dyDescent="0.5">
      <c r="O88" s="26">
        <f>+O77+O78+O79+O80+O81-O82-O83-O84-O85-O86-O87</f>
        <v>130013803</v>
      </c>
      <c r="P88" s="2" t="s">
        <v>20</v>
      </c>
      <c r="Z88" s="66">
        <f>+O88</f>
        <v>130013803</v>
      </c>
    </row>
    <row r="89" spans="1:26" ht="19" thickTop="1" x14ac:dyDescent="0.45">
      <c r="O89" s="2">
        <f>+O88-O91</f>
        <v>0</v>
      </c>
    </row>
    <row r="90" spans="1:26" x14ac:dyDescent="0.45">
      <c r="A90" s="24">
        <v>2016</v>
      </c>
      <c r="O90" s="2">
        <f>+Summary!N14-'From Yearly Reports'!O88</f>
        <v>0</v>
      </c>
    </row>
    <row r="91" spans="1:26" x14ac:dyDescent="0.45">
      <c r="O91" s="2">
        <v>130013803</v>
      </c>
      <c r="P91" s="2" t="s">
        <v>14</v>
      </c>
      <c r="Q91" s="2">
        <f>+O91</f>
        <v>130013803</v>
      </c>
    </row>
    <row r="92" spans="1:26" x14ac:dyDescent="0.45">
      <c r="O92" s="2">
        <f>1392209+1362432</f>
        <v>2754641</v>
      </c>
      <c r="P92" s="2" t="s">
        <v>21</v>
      </c>
      <c r="R92" s="2">
        <f>+O92</f>
        <v>2754641</v>
      </c>
    </row>
    <row r="93" spans="1:26" x14ac:dyDescent="0.45">
      <c r="O93" s="2">
        <f>5203094</f>
        <v>5203094</v>
      </c>
      <c r="P93" s="2" t="s">
        <v>22</v>
      </c>
      <c r="S93" s="2">
        <f>+O93</f>
        <v>5203094</v>
      </c>
    </row>
    <row r="94" spans="1:26" x14ac:dyDescent="0.45">
      <c r="O94" s="2">
        <v>6562993</v>
      </c>
      <c r="P94" s="2" t="s">
        <v>15</v>
      </c>
      <c r="T94" s="2">
        <f>+O94</f>
        <v>6562993</v>
      </c>
    </row>
    <row r="95" spans="1:26" x14ac:dyDescent="0.45">
      <c r="O95" s="2">
        <v>4137400</v>
      </c>
      <c r="P95" s="2" t="s">
        <v>16</v>
      </c>
      <c r="U95" s="2">
        <f>+O95</f>
        <v>4137400</v>
      </c>
    </row>
    <row r="96" spans="1:26" x14ac:dyDescent="0.45">
      <c r="P96" s="2" t="s">
        <v>17</v>
      </c>
    </row>
    <row r="97" spans="13:26" x14ac:dyDescent="0.45">
      <c r="P97" s="2" t="s">
        <v>18</v>
      </c>
    </row>
    <row r="98" spans="13:26" x14ac:dyDescent="0.45">
      <c r="O98" s="2">
        <v>13939684</v>
      </c>
      <c r="P98" s="2" t="s">
        <v>19</v>
      </c>
      <c r="V98" s="2">
        <f>+O98</f>
        <v>13939684</v>
      </c>
    </row>
    <row r="99" spans="13:26" x14ac:dyDescent="0.45">
      <c r="O99" s="2">
        <v>116376</v>
      </c>
      <c r="P99" s="2" t="s">
        <v>8</v>
      </c>
      <c r="W99" s="2">
        <f>+O99</f>
        <v>116376</v>
      </c>
    </row>
    <row r="100" spans="13:26" x14ac:dyDescent="0.45">
      <c r="O100" s="2">
        <v>257440</v>
      </c>
      <c r="P100" s="2" t="s">
        <v>23</v>
      </c>
      <c r="X100" s="2">
        <f>+O100</f>
        <v>257440</v>
      </c>
    </row>
    <row r="101" spans="13:26" x14ac:dyDescent="0.45">
      <c r="O101" s="2">
        <v>456800</v>
      </c>
      <c r="P101" s="2" t="s">
        <v>10</v>
      </c>
      <c r="Y101" s="2">
        <f>+O101</f>
        <v>456800</v>
      </c>
    </row>
    <row r="102" spans="13:26" ht="19" thickBot="1" x14ac:dyDescent="0.5">
      <c r="O102" s="26">
        <f>+O91+O92+O93+O94+O95-O96-O97-O98-O99-O100-O101</f>
        <v>133901631</v>
      </c>
      <c r="P102" s="2" t="s">
        <v>20</v>
      </c>
      <c r="Z102" s="66">
        <f>+O102</f>
        <v>133901631</v>
      </c>
    </row>
    <row r="103" spans="13:26" ht="19" thickTop="1" x14ac:dyDescent="0.45">
      <c r="O103" s="2">
        <f>+Summary!N15-'From Yearly Reports'!O102</f>
        <v>0</v>
      </c>
    </row>
    <row r="111" spans="13:26" x14ac:dyDescent="0.45">
      <c r="M111" s="65" t="s">
        <v>33</v>
      </c>
      <c r="O111" s="2">
        <v>133901631</v>
      </c>
      <c r="P111" s="2" t="s">
        <v>14</v>
      </c>
      <c r="Q111" s="2">
        <f>+O111</f>
        <v>133901631</v>
      </c>
    </row>
    <row r="112" spans="13:26" x14ac:dyDescent="0.45">
      <c r="O112" s="2">
        <f>1305669+1521161</f>
        <v>2826830</v>
      </c>
      <c r="P112" s="2" t="s">
        <v>21</v>
      </c>
      <c r="R112" s="2">
        <f>+O112</f>
        <v>2826830</v>
      </c>
    </row>
    <row r="113" spans="13:26" x14ac:dyDescent="0.45">
      <c r="O113" s="2">
        <v>16260350</v>
      </c>
      <c r="P113" s="2" t="s">
        <v>22</v>
      </c>
      <c r="S113" s="2">
        <f>+O113</f>
        <v>16260350</v>
      </c>
    </row>
    <row r="114" spans="13:26" x14ac:dyDescent="0.45">
      <c r="O114" s="2">
        <v>6562646</v>
      </c>
      <c r="P114" s="2" t="s">
        <v>15</v>
      </c>
      <c r="T114" s="2">
        <f>+O114</f>
        <v>6562646</v>
      </c>
    </row>
    <row r="115" spans="13:26" x14ac:dyDescent="0.45">
      <c r="O115" s="2">
        <v>4137182</v>
      </c>
      <c r="P115" s="2" t="s">
        <v>16</v>
      </c>
      <c r="U115" s="2">
        <f>+O115</f>
        <v>4137182</v>
      </c>
    </row>
    <row r="116" spans="13:26" x14ac:dyDescent="0.45">
      <c r="P116" s="2" t="s">
        <v>17</v>
      </c>
    </row>
    <row r="117" spans="13:26" x14ac:dyDescent="0.45">
      <c r="P117" s="2" t="s">
        <v>18</v>
      </c>
    </row>
    <row r="118" spans="13:26" x14ac:dyDescent="0.45">
      <c r="O118" s="2">
        <v>13970369</v>
      </c>
      <c r="P118" s="2" t="s">
        <v>19</v>
      </c>
      <c r="V118" s="2">
        <f>+O118</f>
        <v>13970369</v>
      </c>
    </row>
    <row r="119" spans="13:26" x14ac:dyDescent="0.45">
      <c r="O119" s="2">
        <v>210140</v>
      </c>
      <c r="P119" s="2" t="s">
        <v>8</v>
      </c>
      <c r="W119" s="2">
        <f>+O119</f>
        <v>210140</v>
      </c>
    </row>
    <row r="120" spans="13:26" x14ac:dyDescent="0.45">
      <c r="O120" s="2">
        <v>269405</v>
      </c>
      <c r="P120" s="2" t="s">
        <v>23</v>
      </c>
      <c r="X120" s="2">
        <f>+O120</f>
        <v>269405</v>
      </c>
    </row>
    <row r="121" spans="13:26" x14ac:dyDescent="0.45">
      <c r="O121" s="2">
        <v>505903</v>
      </c>
      <c r="P121" s="2" t="s">
        <v>10</v>
      </c>
      <c r="Y121" s="2">
        <f>+O121</f>
        <v>505903</v>
      </c>
    </row>
    <row r="122" spans="13:26" ht="19" thickBot="1" x14ac:dyDescent="0.5">
      <c r="O122" s="26">
        <f>+O111+O112+O113+O114+O115-O116-O117-O118-O119-O120-O121</f>
        <v>148732822</v>
      </c>
      <c r="P122" s="2" t="s">
        <v>20</v>
      </c>
      <c r="Z122" s="66">
        <f>+O122</f>
        <v>148732822</v>
      </c>
    </row>
    <row r="123" spans="13:26" ht="19" thickTop="1" x14ac:dyDescent="0.45">
      <c r="O123" s="2">
        <f>148732822-O122</f>
        <v>0</v>
      </c>
    </row>
    <row r="125" spans="13:26" x14ac:dyDescent="0.45">
      <c r="M125" s="65" t="s">
        <v>32</v>
      </c>
      <c r="O125" s="2">
        <v>148732822</v>
      </c>
      <c r="P125" s="2" t="s">
        <v>14</v>
      </c>
      <c r="Q125" s="2">
        <f>+O125</f>
        <v>148732822</v>
      </c>
    </row>
    <row r="126" spans="13:26" x14ac:dyDescent="0.45">
      <c r="O126" s="2">
        <f>1338241+1744127</f>
        <v>3082368</v>
      </c>
      <c r="P126" s="2" t="s">
        <v>21</v>
      </c>
      <c r="R126" s="2">
        <f>+O126</f>
        <v>3082368</v>
      </c>
    </row>
    <row r="127" spans="13:26" x14ac:dyDescent="0.45">
      <c r="O127" s="2">
        <v>-7757336</v>
      </c>
      <c r="P127" s="2" t="s">
        <v>22</v>
      </c>
      <c r="S127" s="2">
        <f>+O127</f>
        <v>-7757336</v>
      </c>
    </row>
    <row r="128" spans="13:26" x14ac:dyDescent="0.45">
      <c r="O128" s="2">
        <v>6503739</v>
      </c>
      <c r="P128" s="2" t="s">
        <v>15</v>
      </c>
      <c r="T128" s="2">
        <f>+O128</f>
        <v>6503739</v>
      </c>
    </row>
    <row r="129" spans="1:26" x14ac:dyDescent="0.45">
      <c r="O129" s="2">
        <v>4100046</v>
      </c>
      <c r="P129" s="2" t="s">
        <v>16</v>
      </c>
      <c r="U129" s="2">
        <f>+O129</f>
        <v>4100046</v>
      </c>
    </row>
    <row r="130" spans="1:26" x14ac:dyDescent="0.45">
      <c r="P130" s="2" t="s">
        <v>17</v>
      </c>
    </row>
    <row r="131" spans="1:26" x14ac:dyDescent="0.45">
      <c r="P131" s="2" t="s">
        <v>18</v>
      </c>
    </row>
    <row r="132" spans="1:26" x14ac:dyDescent="0.45">
      <c r="O132" s="2">
        <v>13893117</v>
      </c>
      <c r="P132" s="2" t="s">
        <v>19</v>
      </c>
      <c r="V132" s="2">
        <f>+O132</f>
        <v>13893117</v>
      </c>
    </row>
    <row r="133" spans="1:26" x14ac:dyDescent="0.45">
      <c r="O133" s="2">
        <v>152769</v>
      </c>
      <c r="P133" s="2" t="s">
        <v>8</v>
      </c>
      <c r="W133" s="2">
        <f>+O133</f>
        <v>152769</v>
      </c>
    </row>
    <row r="134" spans="1:26" x14ac:dyDescent="0.45">
      <c r="O134" s="2">
        <v>252645</v>
      </c>
      <c r="P134" s="2" t="s">
        <v>23</v>
      </c>
      <c r="X134" s="2">
        <f>+O134</f>
        <v>252645</v>
      </c>
    </row>
    <row r="135" spans="1:26" x14ac:dyDescent="0.45">
      <c r="O135" s="2">
        <v>552022</v>
      </c>
      <c r="P135" s="2" t="s">
        <v>10</v>
      </c>
      <c r="Y135" s="2">
        <f>+O135</f>
        <v>552022</v>
      </c>
    </row>
    <row r="136" spans="1:26" ht="19" thickBot="1" x14ac:dyDescent="0.5">
      <c r="O136" s="26">
        <f>+O125+O126+O127+O128+O129-O130-O131-O132-O133-O134-O135</f>
        <v>139811086</v>
      </c>
      <c r="P136" s="2" t="s">
        <v>20</v>
      </c>
      <c r="Z136" s="66">
        <f>+O136</f>
        <v>139811086</v>
      </c>
    </row>
    <row r="137" spans="1:26" ht="19" thickTop="1" x14ac:dyDescent="0.45">
      <c r="O137" s="2">
        <f>139811086-O136</f>
        <v>0</v>
      </c>
    </row>
    <row r="141" spans="1:26" x14ac:dyDescent="0.45">
      <c r="M141" s="65"/>
      <c r="O141" s="64"/>
      <c r="P141" s="64"/>
    </row>
    <row r="142" spans="1:26" x14ac:dyDescent="0.45">
      <c r="O142" s="64"/>
      <c r="P142" s="64"/>
    </row>
    <row r="143" spans="1:26" x14ac:dyDescent="0.45">
      <c r="A143" s="25"/>
      <c r="O143" s="64"/>
      <c r="P143" s="64"/>
    </row>
    <row r="144" spans="1:26" x14ac:dyDescent="0.45">
      <c r="O144" s="64"/>
      <c r="P144" s="64"/>
    </row>
    <row r="145" spans="13:21" x14ac:dyDescent="0.45">
      <c r="O145" s="64"/>
      <c r="P145" s="64"/>
    </row>
    <row r="146" spans="13:21" x14ac:dyDescent="0.45">
      <c r="O146" s="64"/>
      <c r="P146" s="64"/>
    </row>
    <row r="147" spans="13:21" x14ac:dyDescent="0.45">
      <c r="O147" s="64"/>
      <c r="P147" s="64"/>
    </row>
    <row r="148" spans="13:21" x14ac:dyDescent="0.45">
      <c r="O148" s="64"/>
      <c r="P148" s="64"/>
    </row>
    <row r="149" spans="13:21" x14ac:dyDescent="0.45">
      <c r="O149" s="64"/>
      <c r="P149" s="64"/>
    </row>
    <row r="150" spans="13:21" x14ac:dyDescent="0.45">
      <c r="O150" s="64"/>
      <c r="P150" s="64"/>
    </row>
    <row r="151" spans="13:21" x14ac:dyDescent="0.45">
      <c r="O151" s="64"/>
      <c r="P151" s="64"/>
    </row>
    <row r="152" spans="13:21" x14ac:dyDescent="0.45">
      <c r="O152" s="64"/>
      <c r="P152" s="64"/>
    </row>
    <row r="153" spans="13:21" x14ac:dyDescent="0.45">
      <c r="O153" s="64"/>
      <c r="P153" s="64"/>
    </row>
    <row r="155" spans="13:21" x14ac:dyDescent="0.45">
      <c r="M155" s="65" t="s">
        <v>31</v>
      </c>
      <c r="O155" s="2">
        <v>139811086</v>
      </c>
      <c r="P155" s="2" t="s">
        <v>14</v>
      </c>
      <c r="Q155" s="2">
        <f>+O155</f>
        <v>139811086</v>
      </c>
    </row>
    <row r="156" spans="13:21" x14ac:dyDescent="0.45">
      <c r="O156" s="2">
        <f>1743445+1057052</f>
        <v>2800497</v>
      </c>
      <c r="P156" s="2" t="s">
        <v>21</v>
      </c>
      <c r="R156" s="2">
        <f>+O156</f>
        <v>2800497</v>
      </c>
    </row>
    <row r="157" spans="13:21" x14ac:dyDescent="0.45">
      <c r="O157" s="2">
        <f>18617826</f>
        <v>18617826</v>
      </c>
      <c r="P157" s="2" t="s">
        <v>22</v>
      </c>
      <c r="S157" s="2">
        <f>+O157</f>
        <v>18617826</v>
      </c>
    </row>
    <row r="158" spans="13:21" x14ac:dyDescent="0.45">
      <c r="O158" s="2">
        <v>7040090</v>
      </c>
      <c r="P158" s="2" t="s">
        <v>15</v>
      </c>
      <c r="T158" s="2">
        <f>+O158</f>
        <v>7040090</v>
      </c>
    </row>
    <row r="159" spans="13:21" x14ac:dyDescent="0.45">
      <c r="O159" s="2">
        <v>4412568</v>
      </c>
      <c r="P159" s="2" t="s">
        <v>16</v>
      </c>
      <c r="U159" s="2">
        <f>+O159</f>
        <v>4412568</v>
      </c>
    </row>
    <row r="160" spans="13:21" x14ac:dyDescent="0.45">
      <c r="P160" s="2" t="s">
        <v>17</v>
      </c>
    </row>
    <row r="161" spans="15:26" x14ac:dyDescent="0.45">
      <c r="P161" s="2" t="s">
        <v>18</v>
      </c>
    </row>
    <row r="162" spans="15:26" x14ac:dyDescent="0.45">
      <c r="O162" s="2">
        <v>14214801</v>
      </c>
      <c r="P162" s="2" t="s">
        <v>19</v>
      </c>
      <c r="V162" s="2">
        <f>+O162</f>
        <v>14214801</v>
      </c>
    </row>
    <row r="163" spans="15:26" x14ac:dyDescent="0.45">
      <c r="O163" s="2">
        <v>61163</v>
      </c>
      <c r="P163" s="2" t="s">
        <v>8</v>
      </c>
      <c r="W163" s="2">
        <f>+O163</f>
        <v>61163</v>
      </c>
    </row>
    <row r="164" spans="15:26" x14ac:dyDescent="0.45">
      <c r="O164" s="2">
        <v>316029</v>
      </c>
      <c r="P164" s="2" t="s">
        <v>23</v>
      </c>
      <c r="X164" s="2">
        <f>+O164</f>
        <v>316029</v>
      </c>
    </row>
    <row r="165" spans="15:26" x14ac:dyDescent="0.45">
      <c r="O165" s="2">
        <v>502933</v>
      </c>
      <c r="P165" s="2" t="s">
        <v>10</v>
      </c>
      <c r="Y165" s="2">
        <f>+O165</f>
        <v>502933</v>
      </c>
    </row>
    <row r="166" spans="15:26" ht="19" thickBot="1" x14ac:dyDescent="0.5">
      <c r="O166" s="26">
        <f>+O155+O156+O157+O158+O159-O160-O161-O162-O163-O164-O165</f>
        <v>157587141</v>
      </c>
      <c r="P166" s="2" t="s">
        <v>20</v>
      </c>
      <c r="Z166" s="66">
        <f>+O166</f>
        <v>157587141</v>
      </c>
    </row>
    <row r="167" spans="15:26" ht="19" thickTop="1" x14ac:dyDescent="0.45">
      <c r="O167" s="2">
        <f>157587141-O166</f>
        <v>0</v>
      </c>
      <c r="Q167" s="2">
        <f>SUM(Q2:Q166)</f>
        <v>683273761</v>
      </c>
      <c r="R167" s="2">
        <f t="shared" ref="R167:Z167" si="0">SUM(R2:R166)</f>
        <v>14319789</v>
      </c>
      <c r="S167" s="2">
        <f t="shared" si="0"/>
        <v>30266695</v>
      </c>
      <c r="T167" s="2">
        <f t="shared" si="0"/>
        <v>33030744</v>
      </c>
      <c r="U167" s="2">
        <f t="shared" si="0"/>
        <v>20683809</v>
      </c>
      <c r="V167" s="2">
        <f t="shared" si="0"/>
        <v>66856555</v>
      </c>
      <c r="W167" s="2">
        <f t="shared" si="0"/>
        <v>793350</v>
      </c>
      <c r="X167" s="2">
        <f t="shared" si="0"/>
        <v>1375248</v>
      </c>
      <c r="Y167" s="2">
        <f t="shared" si="0"/>
        <v>2503162</v>
      </c>
      <c r="Z167" s="2">
        <f t="shared" si="0"/>
        <v>710046483</v>
      </c>
    </row>
    <row r="168" spans="15:26" x14ac:dyDescent="0.45">
      <c r="Q168" s="2">
        <f>SUM(Summary!C14:C18)</f>
        <v>683273761</v>
      </c>
      <c r="R168" s="2">
        <f>SUM(Summary!D14:D18)</f>
        <v>14319789</v>
      </c>
      <c r="S168" s="2">
        <f>SUM(Summary!E14:E18)</f>
        <v>30266695</v>
      </c>
      <c r="T168" s="2">
        <f>SUM(Summary!F14:F18)</f>
        <v>33030744</v>
      </c>
      <c r="U168" s="2">
        <f>SUM(Summary!G14:G18)</f>
        <v>20683809</v>
      </c>
      <c r="V168" s="2">
        <f>SUM(Summary!H14:H18)</f>
        <v>66856555</v>
      </c>
      <c r="W168" s="2">
        <f>SUM(Summary!K14:K18)</f>
        <v>793350</v>
      </c>
      <c r="X168" s="2">
        <f>SUM(Summary!L14:L18)</f>
        <v>1375248</v>
      </c>
      <c r="Y168" s="2">
        <f>SUM(Summary!M14:M18)</f>
        <v>2503162</v>
      </c>
      <c r="Z168" s="2">
        <f>SUM(Summary!N14:N18)</f>
        <v>710046483</v>
      </c>
    </row>
    <row r="169" spans="15:26" x14ac:dyDescent="0.45">
      <c r="Q169" s="2">
        <f>+Q167-Q168</f>
        <v>0</v>
      </c>
      <c r="R169" s="2">
        <f t="shared" ref="R169:Z169" si="1">+R167-R168</f>
        <v>0</v>
      </c>
      <c r="S169" s="2">
        <f t="shared" si="1"/>
        <v>0</v>
      </c>
      <c r="T169" s="2">
        <f t="shared" si="1"/>
        <v>0</v>
      </c>
      <c r="U169" s="2">
        <f t="shared" si="1"/>
        <v>0</v>
      </c>
      <c r="V169" s="2">
        <f t="shared" si="1"/>
        <v>0</v>
      </c>
      <c r="W169" s="2">
        <f t="shared" si="1"/>
        <v>0</v>
      </c>
      <c r="X169" s="2">
        <f t="shared" si="1"/>
        <v>0</v>
      </c>
      <c r="Y169" s="2">
        <f t="shared" si="1"/>
        <v>0</v>
      </c>
      <c r="Z169" s="2">
        <f t="shared" si="1"/>
        <v>0</v>
      </c>
    </row>
    <row r="185" spans="13:16" x14ac:dyDescent="0.45">
      <c r="M185" s="65" t="s">
        <v>34</v>
      </c>
      <c r="O185" s="2">
        <f>+O166</f>
        <v>157587141</v>
      </c>
      <c r="P185" s="2" t="s">
        <v>14</v>
      </c>
    </row>
    <row r="186" spans="13:16" x14ac:dyDescent="0.45">
      <c r="O186" s="2">
        <f>1227250+1119562</f>
        <v>2346812</v>
      </c>
      <c r="P186" s="2" t="s">
        <v>21</v>
      </c>
    </row>
    <row r="187" spans="13:16" x14ac:dyDescent="0.45">
      <c r="O187" s="2">
        <v>19365905</v>
      </c>
      <c r="P187" s="2" t="s">
        <v>22</v>
      </c>
    </row>
    <row r="188" spans="13:16" x14ac:dyDescent="0.45">
      <c r="O188" s="2">
        <v>8414319</v>
      </c>
      <c r="P188" s="2" t="s">
        <v>15</v>
      </c>
    </row>
    <row r="189" spans="13:16" x14ac:dyDescent="0.45">
      <c r="O189" s="2">
        <v>5123960</v>
      </c>
      <c r="P189" s="2" t="s">
        <v>16</v>
      </c>
    </row>
    <row r="190" spans="13:16" x14ac:dyDescent="0.45">
      <c r="P190" s="2" t="s">
        <v>17</v>
      </c>
    </row>
    <row r="191" spans="13:16" x14ac:dyDescent="0.45">
      <c r="P191" s="2" t="s">
        <v>18</v>
      </c>
    </row>
    <row r="192" spans="13:16" x14ac:dyDescent="0.45">
      <c r="O192" s="2">
        <v>15078012</v>
      </c>
      <c r="P192" s="2" t="s">
        <v>19</v>
      </c>
    </row>
    <row r="193" spans="15:16" x14ac:dyDescent="0.45">
      <c r="O193" s="2">
        <v>374936</v>
      </c>
      <c r="P193" s="2" t="s">
        <v>8</v>
      </c>
    </row>
    <row r="194" spans="15:16" x14ac:dyDescent="0.45">
      <c r="O194" s="2">
        <v>269765</v>
      </c>
      <c r="P194" s="2" t="s">
        <v>23</v>
      </c>
    </row>
    <row r="195" spans="15:16" x14ac:dyDescent="0.45">
      <c r="O195" s="2">
        <v>428620</v>
      </c>
      <c r="P195" s="2" t="s">
        <v>10</v>
      </c>
    </row>
    <row r="196" spans="15:16" ht="19" thickBot="1" x14ac:dyDescent="0.5">
      <c r="O196" s="26">
        <f>+O185+O186+O187+O188+O189-O190-O191-O192-O193-O194-O195</f>
        <v>176686804</v>
      </c>
      <c r="P196" s="2" t="s">
        <v>20</v>
      </c>
    </row>
    <row r="197" spans="15:16" ht="19" thickTop="1" x14ac:dyDescent="0.45">
      <c r="O197" s="2">
        <f>176686804-O196</f>
        <v>0</v>
      </c>
    </row>
    <row r="219" spans="13:16" x14ac:dyDescent="0.45">
      <c r="M219" s="65" t="s">
        <v>35</v>
      </c>
      <c r="O219" s="2">
        <f>+O196</f>
        <v>176686804</v>
      </c>
      <c r="P219" s="2" t="s">
        <v>14</v>
      </c>
    </row>
    <row r="220" spans="13:16" x14ac:dyDescent="0.45">
      <c r="O220" s="2">
        <f>1207081+1401214</f>
        <v>2608295</v>
      </c>
      <c r="P220" s="2" t="s">
        <v>21</v>
      </c>
    </row>
    <row r="221" spans="13:16" x14ac:dyDescent="0.45">
      <c r="O221" s="2">
        <v>15424106</v>
      </c>
      <c r="P221" s="2" t="s">
        <v>22</v>
      </c>
    </row>
    <row r="222" spans="13:16" x14ac:dyDescent="0.45">
      <c r="O222" s="2">
        <v>9488575</v>
      </c>
      <c r="P222" s="2" t="s">
        <v>15</v>
      </c>
    </row>
    <row r="223" spans="13:16" x14ac:dyDescent="0.45">
      <c r="O223" s="2">
        <v>5521762</v>
      </c>
      <c r="P223" s="2" t="s">
        <v>16</v>
      </c>
    </row>
    <row r="224" spans="13:16" x14ac:dyDescent="0.45">
      <c r="P224" s="2" t="s">
        <v>17</v>
      </c>
    </row>
    <row r="225" spans="15:16" x14ac:dyDescent="0.45">
      <c r="P225" s="2" t="s">
        <v>18</v>
      </c>
    </row>
    <row r="226" spans="15:16" x14ac:dyDescent="0.45">
      <c r="O226" s="2">
        <v>15315851</v>
      </c>
      <c r="P226" s="2" t="s">
        <v>19</v>
      </c>
    </row>
    <row r="227" spans="15:16" x14ac:dyDescent="0.45">
      <c r="O227" s="2">
        <v>143656</v>
      </c>
      <c r="P227" s="2" t="s">
        <v>8</v>
      </c>
    </row>
    <row r="228" spans="15:16" x14ac:dyDescent="0.45">
      <c r="O228" s="2">
        <v>345864</v>
      </c>
      <c r="P228" s="2" t="s">
        <v>23</v>
      </c>
    </row>
    <row r="229" spans="15:16" x14ac:dyDescent="0.45">
      <c r="O229" s="2">
        <v>545464</v>
      </c>
      <c r="P229" s="2" t="s">
        <v>10</v>
      </c>
    </row>
    <row r="230" spans="15:16" ht="19" thickBot="1" x14ac:dyDescent="0.5">
      <c r="O230" s="26">
        <f>+O219+O220+O221+O222+O223-O224-O225-O226-O227-O228-O229</f>
        <v>193378707</v>
      </c>
      <c r="P230" s="2" t="s">
        <v>20</v>
      </c>
    </row>
    <row r="231" spans="15:16" ht="19" thickTop="1" x14ac:dyDescent="0.45">
      <c r="O231" s="2">
        <f>193378707-O230</f>
        <v>0</v>
      </c>
    </row>
    <row r="246" spans="13:16" x14ac:dyDescent="0.45">
      <c r="M246" s="65" t="s">
        <v>36</v>
      </c>
      <c r="O246" s="2">
        <f>+O230</f>
        <v>193378707</v>
      </c>
      <c r="P246" s="2" t="s">
        <v>14</v>
      </c>
    </row>
    <row r="247" spans="13:16" x14ac:dyDescent="0.45">
      <c r="O247" s="2">
        <f>1490159+1401431</f>
        <v>2891590</v>
      </c>
      <c r="P247" s="2" t="s">
        <v>21</v>
      </c>
    </row>
    <row r="248" spans="13:16" x14ac:dyDescent="0.45">
      <c r="O248" s="2">
        <v>-29610786</v>
      </c>
      <c r="P248" s="2" t="s">
        <v>22</v>
      </c>
    </row>
    <row r="249" spans="13:16" x14ac:dyDescent="0.45">
      <c r="O249" s="2">
        <v>9447617</v>
      </c>
      <c r="P249" s="2" t="s">
        <v>15</v>
      </c>
    </row>
    <row r="250" spans="13:16" x14ac:dyDescent="0.45">
      <c r="O250" s="2">
        <v>5616586</v>
      </c>
      <c r="P250" s="2" t="s">
        <v>16</v>
      </c>
    </row>
    <row r="251" spans="13:16" x14ac:dyDescent="0.45">
      <c r="P251" s="2" t="s">
        <v>17</v>
      </c>
    </row>
    <row r="252" spans="13:16" x14ac:dyDescent="0.45">
      <c r="P252" s="2" t="s">
        <v>18</v>
      </c>
    </row>
    <row r="253" spans="13:16" x14ac:dyDescent="0.45">
      <c r="O253" s="2">
        <v>14208937</v>
      </c>
      <c r="P253" s="2" t="s">
        <v>19</v>
      </c>
    </row>
    <row r="254" spans="13:16" x14ac:dyDescent="0.45">
      <c r="O254" s="2">
        <v>438130</v>
      </c>
      <c r="P254" s="2" t="s">
        <v>8</v>
      </c>
    </row>
    <row r="255" spans="13:16" x14ac:dyDescent="0.45">
      <c r="O255" s="2">
        <v>298963</v>
      </c>
      <c r="P255" s="2" t="s">
        <v>23</v>
      </c>
    </row>
    <row r="256" spans="13:16" x14ac:dyDescent="0.45">
      <c r="O256" s="2">
        <v>478763</v>
      </c>
      <c r="P256" s="2" t="s">
        <v>10</v>
      </c>
    </row>
    <row r="257" spans="15:16" ht="19" thickBot="1" x14ac:dyDescent="0.5">
      <c r="O257" s="26">
        <f>+O246+O247+O248+O249+O250-O251-O252-O253-O254-O255-O256</f>
        <v>166298921</v>
      </c>
      <c r="P257" s="2" t="s">
        <v>20</v>
      </c>
    </row>
    <row r="258" spans="15:16" ht="19" thickTop="1" x14ac:dyDescent="0.45">
      <c r="O258" s="2">
        <f>166298921-O257</f>
        <v>0</v>
      </c>
    </row>
    <row r="281" spans="13:16" x14ac:dyDescent="0.45">
      <c r="M281" s="65" t="s">
        <v>37</v>
      </c>
      <c r="O281" s="2">
        <f>+O257</f>
        <v>166298921</v>
      </c>
      <c r="P281" s="2" t="s">
        <v>14</v>
      </c>
    </row>
    <row r="282" spans="13:16" x14ac:dyDescent="0.45">
      <c r="O282" s="73">
        <f>1937497+1695454</f>
        <v>3632951</v>
      </c>
      <c r="P282" s="2" t="s">
        <v>21</v>
      </c>
    </row>
    <row r="283" spans="13:16" x14ac:dyDescent="0.45">
      <c r="O283" s="73">
        <v>13922848</v>
      </c>
      <c r="P283" s="2" t="s">
        <v>22</v>
      </c>
    </row>
    <row r="284" spans="13:16" x14ac:dyDescent="0.45">
      <c r="O284" s="73">
        <v>10278794</v>
      </c>
      <c r="P284" s="2" t="s">
        <v>15</v>
      </c>
    </row>
    <row r="285" spans="13:16" x14ac:dyDescent="0.45">
      <c r="O285" s="73">
        <v>5847654</v>
      </c>
      <c r="P285" s="2" t="s">
        <v>16</v>
      </c>
    </row>
    <row r="286" spans="13:16" x14ac:dyDescent="0.45">
      <c r="O286" s="73"/>
      <c r="P286" s="2" t="s">
        <v>17</v>
      </c>
    </row>
    <row r="287" spans="13:16" x14ac:dyDescent="0.45">
      <c r="O287" s="73"/>
      <c r="P287" s="2" t="s">
        <v>18</v>
      </c>
    </row>
    <row r="288" spans="13:16" x14ac:dyDescent="0.45">
      <c r="O288" s="73">
        <v>15567100</v>
      </c>
      <c r="P288" s="2" t="s">
        <v>19</v>
      </c>
    </row>
    <row r="289" spans="15:16" x14ac:dyDescent="0.45">
      <c r="O289" s="73">
        <v>245562</v>
      </c>
      <c r="P289" s="2" t="s">
        <v>8</v>
      </c>
    </row>
    <row r="290" spans="15:16" x14ac:dyDescent="0.45">
      <c r="O290" s="73">
        <v>392743</v>
      </c>
      <c r="P290" s="2" t="s">
        <v>23</v>
      </c>
    </row>
    <row r="291" spans="15:16" x14ac:dyDescent="0.45">
      <c r="O291" s="73">
        <v>515803</v>
      </c>
      <c r="P291" s="2" t="s">
        <v>10</v>
      </c>
    </row>
    <row r="292" spans="15:16" ht="19" thickBot="1" x14ac:dyDescent="0.5">
      <c r="O292" s="26">
        <f>+O281+O282+O283+O284+O285-O286-O287-O288-O289-O290-O291</f>
        <v>183259960</v>
      </c>
      <c r="P292" s="2" t="s">
        <v>20</v>
      </c>
    </row>
    <row r="293" spans="15:16" ht="19" thickTop="1" x14ac:dyDescent="0.45">
      <c r="O293" s="2">
        <f>183259960-O292</f>
        <v>0</v>
      </c>
    </row>
  </sheetData>
  <pageMargins left="0.2" right="0.2" top="0" bottom="0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From Yearly Reports</vt:lpstr>
      <vt:lpstr>'From Yearly Reports'!Print_Titles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Sandroussi</dc:creator>
  <cp:lastModifiedBy>Judy Sandroussi</cp:lastModifiedBy>
  <cp:lastPrinted>2018-05-10T14:54:42Z</cp:lastPrinted>
  <dcterms:created xsi:type="dcterms:W3CDTF">2018-04-26T20:06:40Z</dcterms:created>
  <dcterms:modified xsi:type="dcterms:W3CDTF">2024-07-26T13:35:52Z</dcterms:modified>
</cp:coreProperties>
</file>